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Junsix\Junsix@PM_Manuals\Docs\"/>
    </mc:Choice>
  </mc:AlternateContent>
  <bookViews>
    <workbookView xWindow="-120" yWindow="-120" windowWidth="20730" windowHeight="11040"/>
  </bookViews>
  <sheets>
    <sheet name="Dữ liệu nguồn" sheetId="1" r:id="rId1"/>
    <sheet name="Dữ liệu tính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L11" i="1"/>
  <c r="L10" i="1"/>
  <c r="L9" i="1"/>
  <c r="L8" i="1"/>
  <c r="K11" i="1"/>
  <c r="E51" i="2" s="1"/>
  <c r="K10" i="1"/>
  <c r="N53" i="2"/>
  <c r="N52" i="2"/>
  <c r="N50" i="2"/>
  <c r="N49" i="2"/>
  <c r="N48" i="2"/>
  <c r="N47" i="2"/>
  <c r="N46" i="2"/>
  <c r="N45" i="2"/>
  <c r="N44" i="2"/>
  <c r="N43" i="2"/>
  <c r="L43" i="2"/>
  <c r="L44" i="2"/>
  <c r="L45" i="2"/>
  <c r="L46" i="2"/>
  <c r="L47" i="2"/>
  <c r="L48" i="2"/>
  <c r="L49" i="2"/>
  <c r="L50" i="2"/>
  <c r="L52" i="2"/>
  <c r="L53" i="2"/>
  <c r="E47" i="2"/>
  <c r="E43" i="2"/>
  <c r="E46" i="2" s="1"/>
  <c r="M54" i="2"/>
  <c r="M50" i="2"/>
  <c r="M46" i="2"/>
  <c r="N42" i="2"/>
  <c r="N41" i="2"/>
  <c r="N40" i="2"/>
  <c r="N39" i="2"/>
  <c r="M42" i="2"/>
  <c r="L40" i="2"/>
  <c r="L41" i="2"/>
  <c r="L42" i="2"/>
  <c r="L39" i="2"/>
  <c r="N37" i="2"/>
  <c r="N36" i="2"/>
  <c r="N35" i="2"/>
  <c r="N38" i="2"/>
  <c r="M38" i="2"/>
  <c r="L36" i="2"/>
  <c r="L37" i="2"/>
  <c r="L38" i="2"/>
  <c r="L35" i="2"/>
  <c r="F55" i="2"/>
  <c r="G55" i="2"/>
  <c r="H55" i="2"/>
  <c r="I55" i="2"/>
  <c r="J55" i="2"/>
  <c r="K55" i="2"/>
  <c r="F54" i="2"/>
  <c r="G54" i="2"/>
  <c r="H54" i="2"/>
  <c r="I54" i="2"/>
  <c r="J54" i="2"/>
  <c r="K54" i="2"/>
  <c r="F50" i="2"/>
  <c r="G50" i="2"/>
  <c r="H50" i="2"/>
  <c r="I50" i="2"/>
  <c r="J50" i="2"/>
  <c r="K50" i="2"/>
  <c r="E50" i="2"/>
  <c r="F46" i="2"/>
  <c r="G46" i="2"/>
  <c r="H46" i="2"/>
  <c r="I46" i="2"/>
  <c r="J46" i="2"/>
  <c r="K46" i="2"/>
  <c r="F42" i="2"/>
  <c r="G42" i="2"/>
  <c r="H42" i="2"/>
  <c r="I42" i="2"/>
  <c r="J42" i="2"/>
  <c r="K42" i="2"/>
  <c r="F38" i="2"/>
  <c r="G38" i="2"/>
  <c r="H38" i="2"/>
  <c r="I38" i="2"/>
  <c r="J38" i="2"/>
  <c r="K38" i="2"/>
  <c r="E42" i="2"/>
  <c r="E39" i="2"/>
  <c r="E35" i="2"/>
  <c r="E38" i="2" s="1"/>
  <c r="I27" i="1"/>
  <c r="I26" i="1"/>
  <c r="I7" i="2"/>
  <c r="I25" i="2" s="1"/>
  <c r="I6" i="2"/>
  <c r="I24" i="2" s="1"/>
  <c r="F7" i="2"/>
  <c r="F25" i="2" s="1"/>
  <c r="F8" i="2"/>
  <c r="F26" i="2" s="1"/>
  <c r="F9" i="2"/>
  <c r="F20" i="2" s="1"/>
  <c r="F10" i="2"/>
  <c r="F22" i="2" s="1"/>
  <c r="F23" i="2" s="1"/>
  <c r="F6" i="2"/>
  <c r="F24" i="2" s="1"/>
  <c r="E7" i="2"/>
  <c r="E25" i="2" s="1"/>
  <c r="E8" i="2"/>
  <c r="E26" i="2" s="1"/>
  <c r="E9" i="2"/>
  <c r="E20" i="2" s="1"/>
  <c r="E10" i="2"/>
  <c r="E22" i="2" s="1"/>
  <c r="E23" i="2" s="1"/>
  <c r="E6" i="2"/>
  <c r="E24" i="2" s="1"/>
  <c r="H7" i="2"/>
  <c r="H25" i="2" s="1"/>
  <c r="H8" i="2"/>
  <c r="H26" i="2" s="1"/>
  <c r="H9" i="2"/>
  <c r="H27" i="2" s="1"/>
  <c r="H10" i="2"/>
  <c r="H28" i="2" s="1"/>
  <c r="H6" i="2"/>
  <c r="H24" i="2" s="1"/>
  <c r="G7" i="2"/>
  <c r="G25" i="2" s="1"/>
  <c r="G6" i="2"/>
  <c r="G24" i="2" s="1"/>
  <c r="D7" i="2"/>
  <c r="D25" i="2" s="1"/>
  <c r="D6" i="2"/>
  <c r="D24" i="2" s="1"/>
  <c r="I28" i="1"/>
  <c r="D8" i="2" s="1"/>
  <c r="D26" i="2" s="1"/>
  <c r="L28" i="1"/>
  <c r="G8" i="2" s="1"/>
  <c r="G19" i="2" s="1"/>
  <c r="L27" i="1"/>
  <c r="I29" i="1" s="1"/>
  <c r="L26" i="1"/>
  <c r="E21" i="1"/>
  <c r="E20" i="1"/>
  <c r="E19" i="1"/>
  <c r="E18" i="1"/>
  <c r="E15" i="1"/>
  <c r="L15" i="1"/>
  <c r="L16" i="1"/>
  <c r="E17" i="1" s="1"/>
  <c r="L14" i="1"/>
  <c r="L13" i="1"/>
  <c r="L12" i="1"/>
  <c r="L7" i="1"/>
  <c r="L6" i="1"/>
  <c r="L5" i="1"/>
  <c r="L4" i="1"/>
  <c r="E12" i="1" s="1"/>
  <c r="E54" i="2" l="1"/>
  <c r="L54" i="2" s="1"/>
  <c r="N54" i="2" s="1"/>
  <c r="L51" i="2"/>
  <c r="N51" i="2" s="1"/>
  <c r="E55" i="2"/>
  <c r="L55" i="2" s="1"/>
  <c r="H19" i="2"/>
  <c r="F28" i="2"/>
  <c r="G26" i="2"/>
  <c r="E17" i="2"/>
  <c r="I16" i="2"/>
  <c r="F16" i="2"/>
  <c r="E28" i="2"/>
  <c r="H22" i="2"/>
  <c r="H23" i="2" s="1"/>
  <c r="D17" i="2"/>
  <c r="D19" i="2"/>
  <c r="H29" i="2"/>
  <c r="I17" i="2"/>
  <c r="H17" i="2"/>
  <c r="E16" i="2"/>
  <c r="F27" i="2"/>
  <c r="G17" i="2"/>
  <c r="F19" i="2"/>
  <c r="F21" i="2" s="1"/>
  <c r="E27" i="2"/>
  <c r="D16" i="2"/>
  <c r="F17" i="2"/>
  <c r="H20" i="2"/>
  <c r="E19" i="2"/>
  <c r="E21" i="2" s="1"/>
  <c r="H16" i="2"/>
  <c r="G16" i="2"/>
  <c r="F11" i="2"/>
  <c r="H11" i="2"/>
  <c r="E11" i="2"/>
  <c r="L29" i="1"/>
  <c r="G9" i="2" s="1"/>
  <c r="I9" i="2"/>
  <c r="D9" i="2"/>
  <c r="I30" i="1"/>
  <c r="I8" i="2"/>
  <c r="E16" i="1"/>
  <c r="G18" i="2" l="1"/>
  <c r="G40" i="2"/>
  <c r="G48" i="2"/>
  <c r="G36" i="2"/>
  <c r="G44" i="2"/>
  <c r="G52" i="2"/>
  <c r="H53" i="2"/>
  <c r="H49" i="2"/>
  <c r="H45" i="2"/>
  <c r="H41" i="2"/>
  <c r="H37" i="2"/>
  <c r="F29" i="2"/>
  <c r="H21" i="2"/>
  <c r="I18" i="2"/>
  <c r="E29" i="2"/>
  <c r="H18" i="2"/>
  <c r="E18" i="2"/>
  <c r="F18" i="2"/>
  <c r="D18" i="2"/>
  <c r="I19" i="2"/>
  <c r="I26" i="2"/>
  <c r="G27" i="2"/>
  <c r="G20" i="2"/>
  <c r="G21" i="2" s="1"/>
  <c r="D27" i="2"/>
  <c r="D20" i="2"/>
  <c r="D21" i="2" s="1"/>
  <c r="I27" i="2"/>
  <c r="I20" i="2"/>
  <c r="L30" i="1"/>
  <c r="G10" i="2" s="1"/>
  <c r="D10" i="2"/>
  <c r="I10" i="2"/>
  <c r="D11" i="2" l="1"/>
  <c r="D28" i="2"/>
  <c r="D29" i="2" s="1"/>
  <c r="D22" i="2"/>
  <c r="D23" i="2" s="1"/>
  <c r="I11" i="2"/>
  <c r="I22" i="2"/>
  <c r="I23" i="2" s="1"/>
  <c r="I28" i="2"/>
  <c r="I29" i="2" s="1"/>
  <c r="G11" i="2"/>
  <c r="G22" i="2"/>
  <c r="G23" i="2" s="1"/>
  <c r="G28" i="2"/>
  <c r="G29" i="2" s="1"/>
  <c r="I21" i="2"/>
</calcChain>
</file>

<file path=xl/comments1.xml><?xml version="1.0" encoding="utf-8"?>
<comments xmlns="http://schemas.openxmlformats.org/spreadsheetml/2006/main">
  <authors>
    <author>Dung Pham</author>
  </authors>
  <commentList>
    <comment ref="D5" authorId="0" shapeId="0">
      <text>
        <r>
          <rPr>
            <sz val="9"/>
            <color indexed="81"/>
            <rFont val="Tahoma"/>
            <family val="2"/>
          </rPr>
          <t xml:space="preserve">Chi phí định mức 621
</t>
        </r>
      </text>
    </comment>
    <comment ref="E5" authorId="0" shapeId="0">
      <text>
        <r>
          <rPr>
            <sz val="9"/>
            <color indexed="81"/>
            <rFont val="Tahoma"/>
            <family val="2"/>
          </rPr>
          <t xml:space="preserve">Chi phí định mức 622
</t>
        </r>
      </text>
    </comment>
    <comment ref="F5" authorId="0" shapeId="0">
      <text>
        <r>
          <rPr>
            <sz val="9"/>
            <color indexed="81"/>
            <rFont val="Tahoma"/>
            <family val="2"/>
          </rPr>
          <t xml:space="preserve">Chi phí định mức 627
</t>
        </r>
      </text>
    </comment>
    <comment ref="G5" authorId="0" shapeId="0">
      <text>
        <r>
          <rPr>
            <sz val="9"/>
            <color indexed="81"/>
            <rFont val="Tahoma"/>
            <family val="2"/>
          </rPr>
          <t xml:space="preserve">Giá thành định mức
</t>
        </r>
      </text>
    </comment>
    <comment ref="H5" authorId="0" shapeId="0">
      <text>
        <r>
          <rPr>
            <sz val="9"/>
            <color indexed="81"/>
            <rFont val="Tahoma"/>
            <family val="2"/>
          </rPr>
          <t>Phân bổ theo số lượng 
(dữ liệu 3 đvt là trùng nhau)</t>
        </r>
      </text>
    </comment>
    <comment ref="I5" authorId="0" shapeId="0">
      <text>
        <r>
          <rPr>
            <sz val="9"/>
            <color indexed="81"/>
            <rFont val="Tahoma"/>
            <family val="2"/>
          </rPr>
          <t xml:space="preserve">Chi phí nguyên liệu trực tiếp
</t>
        </r>
      </text>
    </comment>
    <comment ref="D15" authorId="0" shapeId="0">
      <text>
        <r>
          <rPr>
            <sz val="9"/>
            <color indexed="81"/>
            <rFont val="Tahoma"/>
            <family val="2"/>
          </rPr>
          <t xml:space="preserve">Chi phí định mức 621
</t>
        </r>
      </text>
    </comment>
    <comment ref="E15" authorId="0" shapeId="0">
      <text>
        <r>
          <rPr>
            <sz val="9"/>
            <color indexed="81"/>
            <rFont val="Tahoma"/>
            <family val="2"/>
          </rPr>
          <t xml:space="preserve">Chi phí định mức 622
</t>
        </r>
      </text>
    </comment>
    <comment ref="F15" authorId="0" shapeId="0">
      <text>
        <r>
          <rPr>
            <sz val="9"/>
            <color indexed="81"/>
            <rFont val="Tahoma"/>
            <family val="2"/>
          </rPr>
          <t xml:space="preserve">Chi phí định mức 627
</t>
        </r>
      </text>
    </comment>
    <comment ref="G15" authorId="0" shapeId="0">
      <text>
        <r>
          <rPr>
            <sz val="9"/>
            <color indexed="81"/>
            <rFont val="Tahoma"/>
            <family val="2"/>
          </rPr>
          <t xml:space="preserve">Giá thành định mức
</t>
        </r>
      </text>
    </comment>
    <comment ref="H15" authorId="0" shapeId="0">
      <text>
        <r>
          <rPr>
            <sz val="9"/>
            <color indexed="81"/>
            <rFont val="Tahoma"/>
            <family val="2"/>
          </rPr>
          <t>Phân bổ theo số lượng 
(dữ liệu 3 đvt là trùng nhau)</t>
        </r>
      </text>
    </comment>
    <comment ref="I15" authorId="0" shapeId="0">
      <text>
        <r>
          <rPr>
            <sz val="9"/>
            <color indexed="81"/>
            <rFont val="Tahoma"/>
            <family val="2"/>
          </rPr>
          <t xml:space="preserve">Chi phí nguyên liệu trực tiếp
</t>
        </r>
      </text>
    </comment>
    <comment ref="F34" authorId="0" shapeId="0">
      <text>
        <r>
          <rPr>
            <sz val="9"/>
            <color indexed="81"/>
            <rFont val="Tahoma"/>
            <family val="2"/>
          </rPr>
          <t xml:space="preserve">Chi phí định mức 621
</t>
        </r>
      </text>
    </comment>
    <comment ref="G34" authorId="0" shapeId="0">
      <text>
        <r>
          <rPr>
            <sz val="9"/>
            <color indexed="81"/>
            <rFont val="Tahoma"/>
            <family val="2"/>
          </rPr>
          <t xml:space="preserve">Chi phí định mức 622
</t>
        </r>
      </text>
    </comment>
    <comment ref="H34" authorId="0" shapeId="0">
      <text>
        <r>
          <rPr>
            <sz val="9"/>
            <color indexed="81"/>
            <rFont val="Tahoma"/>
            <family val="2"/>
          </rPr>
          <t xml:space="preserve">Chi phí định mức 627
</t>
        </r>
      </text>
    </comment>
    <comment ref="I34" authorId="0" shapeId="0">
      <text>
        <r>
          <rPr>
            <sz val="9"/>
            <color indexed="81"/>
            <rFont val="Tahoma"/>
            <family val="2"/>
          </rPr>
          <t xml:space="preserve">Giá thành định mức
</t>
        </r>
      </text>
    </comment>
    <comment ref="J34" authorId="0" shapeId="0">
      <text>
        <r>
          <rPr>
            <sz val="9"/>
            <color indexed="81"/>
            <rFont val="Tahoma"/>
            <family val="2"/>
          </rPr>
          <t>Phân bổ theo số lượng 
(dữ liệu 3 đvt là trùng nhau)</t>
        </r>
      </text>
    </comment>
    <comment ref="K34" authorId="0" shapeId="0">
      <text>
        <r>
          <rPr>
            <sz val="9"/>
            <color indexed="81"/>
            <rFont val="Tahoma"/>
            <family val="2"/>
          </rPr>
          <t xml:space="preserve">Chi phí nguyên liệu trực tiếp
</t>
        </r>
      </text>
    </comment>
  </commentList>
</comments>
</file>

<file path=xl/sharedStrings.xml><?xml version="1.0" encoding="utf-8"?>
<sst xmlns="http://schemas.openxmlformats.org/spreadsheetml/2006/main" count="172" uniqueCount="62">
  <si>
    <t>Sản phẩm sản xuất</t>
  </si>
  <si>
    <t>Công đoạn</t>
  </si>
  <si>
    <t>Mã SP</t>
  </si>
  <si>
    <t>SP1-01</t>
  </si>
  <si>
    <t>SP1-02</t>
  </si>
  <si>
    <t>SP3-01</t>
  </si>
  <si>
    <t>SP2-01</t>
  </si>
  <si>
    <t>SP2-02</t>
  </si>
  <si>
    <t>TTCP</t>
  </si>
  <si>
    <t>CD1</t>
  </si>
  <si>
    <t>CD2</t>
  </si>
  <si>
    <t>CD3</t>
  </si>
  <si>
    <t>Số lượng sx</t>
  </si>
  <si>
    <t>Tài khoản</t>
  </si>
  <si>
    <t>621</t>
  </si>
  <si>
    <t>NL-01</t>
  </si>
  <si>
    <t>NL-02</t>
  </si>
  <si>
    <t>NL-03</t>
  </si>
  <si>
    <t>NL-04</t>
  </si>
  <si>
    <t>Sản phẩm</t>
  </si>
  <si>
    <t>Số tiền</t>
  </si>
  <si>
    <t>Số lượng</t>
  </si>
  <si>
    <t>Giá trị</t>
  </si>
  <si>
    <t>SXC</t>
  </si>
  <si>
    <t>LG.SP</t>
  </si>
  <si>
    <t>LG.QL</t>
  </si>
  <si>
    <t>Khoản mục phí</t>
  </si>
  <si>
    <t>CP.DIEN</t>
  </si>
  <si>
    <t>CP.NUOC</t>
  </si>
  <si>
    <t>CP.KH</t>
  </si>
  <si>
    <t>Chi phí sản xuất (theo hạch toán)</t>
  </si>
  <si>
    <t>Tkhoản</t>
  </si>
  <si>
    <t>Tổng hợp chi phí  (theo hạch toán)</t>
  </si>
  <si>
    <t>Cấu trúc phân bổ (2)</t>
  </si>
  <si>
    <t>Hệ số</t>
  </si>
  <si>
    <t>Bảng giá thành định mức</t>
  </si>
  <si>
    <t>Giá định mức</t>
  </si>
  <si>
    <t>Bảng tính hệ số phân bổ: Không theo TTCP</t>
  </si>
  <si>
    <t>Phương pháp tính hệ số</t>
  </si>
  <si>
    <t>Tổng</t>
  </si>
  <si>
    <t>1</t>
  </si>
  <si>
    <t>2</t>
  </si>
  <si>
    <t>3</t>
  </si>
  <si>
    <t>4</t>
  </si>
  <si>
    <t>5-8</t>
  </si>
  <si>
    <t>9</t>
  </si>
  <si>
    <t>Bảng tính hệ số phân bổ: Có theo TTCP</t>
  </si>
  <si>
    <t>Cộng CD1</t>
  </si>
  <si>
    <t>Cộng CD2</t>
  </si>
  <si>
    <t>Cộng CD3</t>
  </si>
  <si>
    <t>Cộng SXC</t>
  </si>
  <si>
    <t>Chi phí phân bổ</t>
  </si>
  <si>
    <t>Chi phí 
trực tiếp</t>
  </si>
  <si>
    <t>Cộng: SP1-01</t>
  </si>
  <si>
    <t>Cộng: SP1-02</t>
  </si>
  <si>
    <t>Cộng: SP2-01</t>
  </si>
  <si>
    <t>Cộng: SP2-02</t>
  </si>
  <si>
    <t>Tổng cộng</t>
  </si>
  <si>
    <t>Tổng giá thành</t>
  </si>
  <si>
    <t>Số lượng sản xuất</t>
  </si>
  <si>
    <t>Đơn giá thành</t>
  </si>
  <si>
    <t>Bảng tính giá thành: phương pháp trực tiếp 621 + không theo TTCP + phân bổ 1,2,3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</si>
</sst>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* #,##0.0_);_(* \(#,##0.0\);_(* &quot;-&quot;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9"/>
      <color indexed="8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0" xfId="1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164" fontId="2" fillId="0" borderId="1" xfId="1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4" fontId="3" fillId="5" borderId="1" xfId="1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7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64" fontId="3" fillId="8" borderId="1" xfId="1" applyNumberFormat="1" applyFont="1" applyFill="1" applyBorder="1" applyAlignment="1">
      <alignment vertical="center"/>
    </xf>
    <xf numFmtId="0" fontId="3" fillId="8" borderId="1" xfId="0" applyFont="1" applyFill="1" applyBorder="1" applyAlignment="1">
      <alignment vertical="center"/>
    </xf>
    <xf numFmtId="0" fontId="3" fillId="11" borderId="1" xfId="0" applyFont="1" applyFill="1" applyBorder="1" applyAlignment="1">
      <alignment horizontal="center" vertical="center"/>
    </xf>
    <xf numFmtId="164" fontId="3" fillId="11" borderId="1" xfId="1" quotePrefix="1" applyNumberFormat="1" applyFont="1" applyFill="1" applyBorder="1" applyAlignment="1">
      <alignment horizontal="center" vertical="center"/>
    </xf>
    <xf numFmtId="0" fontId="3" fillId="11" borderId="1" xfId="0" quotePrefix="1" applyFont="1" applyFill="1" applyBorder="1" applyAlignment="1">
      <alignment horizontal="center" vertical="center"/>
    </xf>
    <xf numFmtId="16" fontId="3" fillId="11" borderId="1" xfId="0" quotePrefix="1" applyNumberFormat="1" applyFont="1" applyFill="1" applyBorder="1" applyAlignment="1">
      <alignment horizontal="center" vertical="center"/>
    </xf>
    <xf numFmtId="164" fontId="4" fillId="12" borderId="1" xfId="1" applyNumberFormat="1" applyFont="1" applyFill="1" applyBorder="1" applyAlignment="1">
      <alignment vertical="center"/>
    </xf>
    <xf numFmtId="164" fontId="2" fillId="0" borderId="1" xfId="1" applyNumberFormat="1" applyFont="1" applyBorder="1" applyAlignment="1">
      <alignment horizontal="left" vertical="center"/>
    </xf>
    <xf numFmtId="0" fontId="2" fillId="0" borderId="0" xfId="0" applyFont="1"/>
    <xf numFmtId="164" fontId="3" fillId="11" borderId="1" xfId="0" applyNumberFormat="1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4" fontId="4" fillId="12" borderId="1" xfId="0" applyNumberFormat="1" applyFont="1" applyFill="1" applyBorder="1" applyAlignment="1">
      <alignment vertical="center"/>
    </xf>
    <xf numFmtId="164" fontId="4" fillId="13" borderId="1" xfId="1" applyNumberFormat="1" applyFont="1" applyFill="1" applyBorder="1" applyAlignment="1">
      <alignment horizontal="left" vertical="center"/>
    </xf>
    <xf numFmtId="164" fontId="2" fillId="0" borderId="1" xfId="1" applyNumberFormat="1" applyFont="1" applyBorder="1"/>
    <xf numFmtId="164" fontId="3" fillId="11" borderId="1" xfId="1" applyNumberFormat="1" applyFont="1" applyFill="1" applyBorder="1" applyAlignment="1">
      <alignment vertical="center"/>
    </xf>
    <xf numFmtId="164" fontId="3" fillId="11" borderId="2" xfId="1" quotePrefix="1" applyNumberFormat="1" applyFont="1" applyFill="1" applyBorder="1" applyAlignment="1">
      <alignment horizontal="center" vertical="center"/>
    </xf>
    <xf numFmtId="164" fontId="2" fillId="0" borderId="2" xfId="1" applyNumberFormat="1" applyFont="1" applyBorder="1" applyAlignment="1">
      <alignment vertical="center"/>
    </xf>
    <xf numFmtId="164" fontId="4" fillId="13" borderId="2" xfId="1" applyNumberFormat="1" applyFont="1" applyFill="1" applyBorder="1" applyAlignment="1">
      <alignment horizontal="left" vertical="center"/>
    </xf>
    <xf numFmtId="164" fontId="4" fillId="15" borderId="1" xfId="1" applyNumberFormat="1" applyFont="1" applyFill="1" applyBorder="1"/>
    <xf numFmtId="164" fontId="2" fillId="0" borderId="1" xfId="1" applyNumberFormat="1" applyFont="1" applyFill="1" applyBorder="1"/>
    <xf numFmtId="164" fontId="4" fillId="14" borderId="1" xfId="1" applyNumberFormat="1" applyFont="1" applyFill="1" applyBorder="1"/>
    <xf numFmtId="164" fontId="2" fillId="16" borderId="1" xfId="1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vertical="center"/>
    </xf>
    <xf numFmtId="0" fontId="3" fillId="8" borderId="4" xfId="0" applyFont="1" applyFill="1" applyBorder="1" applyAlignment="1">
      <alignment vertical="center"/>
    </xf>
    <xf numFmtId="0" fontId="4" fillId="10" borderId="1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 wrapText="1"/>
    </xf>
    <xf numFmtId="0" fontId="4" fillId="10" borderId="8" xfId="0" applyFont="1" applyFill="1" applyBorder="1" applyAlignment="1">
      <alignment horizontal="center" vertical="center"/>
    </xf>
    <xf numFmtId="0" fontId="4" fillId="1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/>
    </xf>
    <xf numFmtId="0" fontId="3" fillId="11" borderId="9" xfId="0" applyFont="1" applyFill="1" applyBorder="1" applyAlignment="1">
      <alignment horizontal="center" vertical="center"/>
    </xf>
    <xf numFmtId="0" fontId="3" fillId="11" borderId="10" xfId="0" applyFont="1" applyFill="1" applyBorder="1" applyAlignment="1">
      <alignment horizontal="center" vertical="center"/>
    </xf>
    <xf numFmtId="0" fontId="3" fillId="11" borderId="5" xfId="0" applyFont="1" applyFill="1" applyBorder="1" applyAlignment="1">
      <alignment horizontal="center" vertical="center"/>
    </xf>
    <xf numFmtId="0" fontId="3" fillId="11" borderId="6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left" vertical="center"/>
    </xf>
    <xf numFmtId="0" fontId="3" fillId="11" borderId="7" xfId="0" applyFont="1" applyFill="1" applyBorder="1" applyAlignment="1">
      <alignment horizontal="center" vertical="center"/>
    </xf>
    <xf numFmtId="0" fontId="3" fillId="11" borderId="5" xfId="0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13" borderId="2" xfId="0" applyFont="1" applyFill="1" applyBorder="1" applyAlignment="1">
      <alignment horizontal="center" vertical="center"/>
    </xf>
    <xf numFmtId="0" fontId="4" fillId="13" borderId="3" xfId="0" applyFont="1" applyFill="1" applyBorder="1" applyAlignment="1">
      <alignment horizontal="center" vertical="center"/>
    </xf>
    <xf numFmtId="0" fontId="4" fillId="13" borderId="4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55</xdr:row>
      <xdr:rowOff>133350</xdr:rowOff>
    </xdr:from>
    <xdr:to>
      <xdr:col>6</xdr:col>
      <xdr:colOff>951738</xdr:colOff>
      <xdr:row>76</xdr:row>
      <xdr:rowOff>18464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044F9B-5AF3-4562-96FB-DD0487C1C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5" y="12706350"/>
          <a:ext cx="6095238" cy="46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5"/>
  <sheetViews>
    <sheetView tabSelected="1" topLeftCell="A37" workbookViewId="0">
      <selection activeCell="G4" sqref="G4:G11"/>
    </sheetView>
  </sheetViews>
  <sheetFormatPr defaultRowHeight="18" customHeight="1" x14ac:dyDescent="0.25"/>
  <cols>
    <col min="1" max="1" width="3.85546875" style="2" customWidth="1"/>
    <col min="2" max="2" width="12" style="2" bestFit="1" customWidth="1"/>
    <col min="3" max="3" width="13" style="2" customWidth="1"/>
    <col min="4" max="4" width="11.42578125" style="1" customWidth="1"/>
    <col min="5" max="5" width="15" style="3" bestFit="1" customWidth="1"/>
    <col min="6" max="6" width="4" style="2" customWidth="1"/>
    <col min="7" max="7" width="13" style="2" customWidth="1"/>
    <col min="8" max="8" width="9.140625" style="1"/>
    <col min="9" max="9" width="16.7109375" style="2" customWidth="1"/>
    <col min="10" max="10" width="16.140625" style="2" bestFit="1" customWidth="1"/>
    <col min="11" max="11" width="16.85546875" style="3" customWidth="1"/>
    <col min="12" max="12" width="16.140625" style="3" customWidth="1"/>
    <col min="13" max="16384" width="9.140625" style="2"/>
  </cols>
  <sheetData>
    <row r="2" spans="2:12" ht="18" customHeight="1" x14ac:dyDescent="0.25">
      <c r="B2" s="44" t="s">
        <v>0</v>
      </c>
      <c r="C2" s="45"/>
      <c r="D2" s="45"/>
      <c r="E2" s="46"/>
      <c r="G2" s="48" t="s">
        <v>30</v>
      </c>
      <c r="H2" s="49"/>
      <c r="I2" s="49"/>
      <c r="J2" s="49"/>
      <c r="K2" s="49"/>
      <c r="L2" s="50"/>
    </row>
    <row r="3" spans="2:12" ht="18" customHeight="1" x14ac:dyDescent="0.25">
      <c r="B3" s="10" t="s">
        <v>1</v>
      </c>
      <c r="C3" s="10" t="s">
        <v>2</v>
      </c>
      <c r="D3" s="10" t="s">
        <v>8</v>
      </c>
      <c r="E3" s="11" t="s">
        <v>12</v>
      </c>
      <c r="G3" s="9" t="s">
        <v>13</v>
      </c>
      <c r="H3" s="9" t="s">
        <v>8</v>
      </c>
      <c r="I3" s="9" t="s">
        <v>19</v>
      </c>
      <c r="J3" s="9" t="s">
        <v>26</v>
      </c>
      <c r="K3" s="12" t="s">
        <v>21</v>
      </c>
      <c r="L3" s="12" t="s">
        <v>22</v>
      </c>
    </row>
    <row r="4" spans="2:12" ht="18" customHeight="1" x14ac:dyDescent="0.25">
      <c r="B4" s="43">
        <v>1</v>
      </c>
      <c r="C4" s="8" t="s">
        <v>3</v>
      </c>
      <c r="D4" s="6" t="s">
        <v>9</v>
      </c>
      <c r="E4" s="5">
        <v>1000</v>
      </c>
      <c r="G4" s="47" t="s">
        <v>14</v>
      </c>
      <c r="H4" s="43" t="s">
        <v>9</v>
      </c>
      <c r="I4" s="52" t="s">
        <v>3</v>
      </c>
      <c r="J4" s="8" t="s">
        <v>15</v>
      </c>
      <c r="K4" s="5">
        <v>300</v>
      </c>
      <c r="L4" s="5">
        <f>K4*20000</f>
        <v>6000000</v>
      </c>
    </row>
    <row r="5" spans="2:12" ht="18" customHeight="1" x14ac:dyDescent="0.25">
      <c r="B5" s="43"/>
      <c r="C5" s="8" t="s">
        <v>4</v>
      </c>
      <c r="D5" s="6" t="s">
        <v>9</v>
      </c>
      <c r="E5" s="5">
        <v>2000</v>
      </c>
      <c r="G5" s="47"/>
      <c r="H5" s="43"/>
      <c r="I5" s="52"/>
      <c r="J5" s="8" t="s">
        <v>16</v>
      </c>
      <c r="K5" s="5">
        <v>700</v>
      </c>
      <c r="L5" s="5">
        <f>K5*21000</f>
        <v>14700000</v>
      </c>
    </row>
    <row r="6" spans="2:12" ht="18" customHeight="1" x14ac:dyDescent="0.25">
      <c r="B6" s="43">
        <v>2</v>
      </c>
      <c r="C6" s="8" t="s">
        <v>6</v>
      </c>
      <c r="D6" s="6" t="s">
        <v>10</v>
      </c>
      <c r="E6" s="5">
        <v>500</v>
      </c>
      <c r="G6" s="47"/>
      <c r="H6" s="43"/>
      <c r="I6" s="52" t="s">
        <v>4</v>
      </c>
      <c r="J6" s="8" t="s">
        <v>17</v>
      </c>
      <c r="K6" s="5">
        <v>1200</v>
      </c>
      <c r="L6" s="5">
        <f>K6*22000</f>
        <v>26400000</v>
      </c>
    </row>
    <row r="7" spans="2:12" ht="18" customHeight="1" x14ac:dyDescent="0.25">
      <c r="B7" s="43"/>
      <c r="C7" s="8" t="s">
        <v>7</v>
      </c>
      <c r="D7" s="6" t="s">
        <v>10</v>
      </c>
      <c r="E7" s="5">
        <v>700</v>
      </c>
      <c r="G7" s="47"/>
      <c r="H7" s="43"/>
      <c r="I7" s="52"/>
      <c r="J7" s="8" t="s">
        <v>18</v>
      </c>
      <c r="K7" s="5">
        <v>800</v>
      </c>
      <c r="L7" s="5">
        <f>K7*23000</f>
        <v>18400000</v>
      </c>
    </row>
    <row r="8" spans="2:12" ht="18" customHeight="1" x14ac:dyDescent="0.25">
      <c r="B8" s="6">
        <v>3</v>
      </c>
      <c r="C8" s="8" t="s">
        <v>5</v>
      </c>
      <c r="D8" s="6" t="s">
        <v>11</v>
      </c>
      <c r="E8" s="5">
        <v>500</v>
      </c>
      <c r="G8" s="47"/>
      <c r="H8" s="43" t="s">
        <v>10</v>
      </c>
      <c r="I8" s="8" t="s">
        <v>6</v>
      </c>
      <c r="J8" s="8" t="s">
        <v>3</v>
      </c>
      <c r="K8" s="5">
        <v>500</v>
      </c>
      <c r="L8" s="42">
        <f>K8*'Dữ liệu tính'!N38</f>
        <v>11139435.600578871</v>
      </c>
    </row>
    <row r="9" spans="2:12" ht="18" customHeight="1" x14ac:dyDescent="0.25">
      <c r="G9" s="47"/>
      <c r="H9" s="43"/>
      <c r="I9" s="8" t="s">
        <v>7</v>
      </c>
      <c r="J9" s="8" t="s">
        <v>4</v>
      </c>
      <c r="K9" s="5">
        <v>700</v>
      </c>
      <c r="L9" s="42">
        <f>K9*'Dữ liệu tính'!N42</f>
        <v>16925209.840810418</v>
      </c>
    </row>
    <row r="10" spans="2:12" ht="18" customHeight="1" x14ac:dyDescent="0.25">
      <c r="B10" s="51" t="s">
        <v>32</v>
      </c>
      <c r="C10" s="51"/>
      <c r="D10" s="51"/>
      <c r="E10" s="51"/>
      <c r="G10" s="47"/>
      <c r="H10" s="43" t="s">
        <v>11</v>
      </c>
      <c r="I10" s="52" t="s">
        <v>5</v>
      </c>
      <c r="J10" s="8" t="s">
        <v>6</v>
      </c>
      <c r="K10" s="5">
        <f>E8/2</f>
        <v>250</v>
      </c>
      <c r="L10" s="42">
        <f>K10*'Dữ liệu tính'!N46</f>
        <v>6071345.8755426919</v>
      </c>
    </row>
    <row r="11" spans="2:12" ht="18" customHeight="1" x14ac:dyDescent="0.25">
      <c r="B11" s="7" t="s">
        <v>31</v>
      </c>
      <c r="C11" s="7" t="s">
        <v>8</v>
      </c>
      <c r="D11" s="9"/>
      <c r="E11" s="9" t="s">
        <v>20</v>
      </c>
      <c r="G11" s="47"/>
      <c r="H11" s="43"/>
      <c r="I11" s="52"/>
      <c r="J11" s="8" t="s">
        <v>7</v>
      </c>
      <c r="K11" s="5">
        <f>K10</f>
        <v>250</v>
      </c>
      <c r="L11" s="42">
        <f>K11*'Dữ liệu tính'!N50</f>
        <v>6612301.0130246012</v>
      </c>
    </row>
    <row r="12" spans="2:12" ht="18" customHeight="1" x14ac:dyDescent="0.25">
      <c r="B12" s="43">
        <v>621</v>
      </c>
      <c r="C12" s="4" t="s">
        <v>9</v>
      </c>
      <c r="D12" s="6"/>
      <c r="E12" s="13">
        <f>SUM(L4:L7)</f>
        <v>65500000</v>
      </c>
      <c r="G12" s="43">
        <v>622</v>
      </c>
      <c r="H12" s="43" t="s">
        <v>9</v>
      </c>
      <c r="I12" s="8" t="s">
        <v>3</v>
      </c>
      <c r="J12" s="4" t="s">
        <v>24</v>
      </c>
      <c r="K12" s="5"/>
      <c r="L12" s="5">
        <f>E4*1000</f>
        <v>1000000</v>
      </c>
    </row>
    <row r="13" spans="2:12" ht="18" customHeight="1" x14ac:dyDescent="0.25">
      <c r="B13" s="43"/>
      <c r="C13" s="4" t="s">
        <v>10</v>
      </c>
      <c r="D13" s="6"/>
      <c r="E13" s="42">
        <f>SUM(L8:L9)</f>
        <v>28064645.441389289</v>
      </c>
      <c r="G13" s="43"/>
      <c r="H13" s="43"/>
      <c r="I13" s="8" t="s">
        <v>4</v>
      </c>
      <c r="J13" s="4" t="s">
        <v>24</v>
      </c>
      <c r="K13" s="5"/>
      <c r="L13" s="5">
        <f>E5*1200</f>
        <v>2400000</v>
      </c>
    </row>
    <row r="14" spans="2:12" ht="18" customHeight="1" x14ac:dyDescent="0.25">
      <c r="B14" s="43"/>
      <c r="C14" s="4" t="s">
        <v>11</v>
      </c>
      <c r="D14" s="6"/>
      <c r="E14" s="42">
        <f>SUM(L10:L11)</f>
        <v>12683646.888567293</v>
      </c>
      <c r="G14" s="43"/>
      <c r="H14" s="43" t="s">
        <v>10</v>
      </c>
      <c r="I14" s="8" t="s">
        <v>6</v>
      </c>
      <c r="J14" s="4" t="s">
        <v>24</v>
      </c>
      <c r="K14" s="5"/>
      <c r="L14" s="5">
        <f>E6*1500</f>
        <v>750000</v>
      </c>
    </row>
    <row r="15" spans="2:12" ht="18" customHeight="1" x14ac:dyDescent="0.25">
      <c r="B15" s="43">
        <v>622</v>
      </c>
      <c r="C15" s="4" t="s">
        <v>9</v>
      </c>
      <c r="D15" s="6"/>
      <c r="E15" s="13">
        <f>SUM(L12:L13)</f>
        <v>3400000</v>
      </c>
      <c r="G15" s="43"/>
      <c r="H15" s="43"/>
      <c r="I15" s="8" t="s">
        <v>7</v>
      </c>
      <c r="J15" s="4" t="s">
        <v>24</v>
      </c>
      <c r="K15" s="5"/>
      <c r="L15" s="5">
        <f>E7*1800</f>
        <v>1260000</v>
      </c>
    </row>
    <row r="16" spans="2:12" ht="18" customHeight="1" x14ac:dyDescent="0.25">
      <c r="B16" s="43"/>
      <c r="C16" s="4" t="s">
        <v>10</v>
      </c>
      <c r="D16" s="6"/>
      <c r="E16" s="13">
        <f>SUM(L14:L15)</f>
        <v>2010000</v>
      </c>
      <c r="G16" s="43"/>
      <c r="H16" s="6" t="s">
        <v>11</v>
      </c>
      <c r="I16" s="8" t="s">
        <v>5</v>
      </c>
      <c r="J16" s="4" t="s">
        <v>24</v>
      </c>
      <c r="K16" s="5"/>
      <c r="L16" s="5">
        <f>E8*2000</f>
        <v>1000000</v>
      </c>
    </row>
    <row r="17" spans="2:12" ht="18" customHeight="1" x14ac:dyDescent="0.25">
      <c r="B17" s="43"/>
      <c r="C17" s="4" t="s">
        <v>11</v>
      </c>
      <c r="D17" s="6"/>
      <c r="E17" s="5">
        <f>L16</f>
        <v>1000000</v>
      </c>
      <c r="G17" s="43">
        <v>627</v>
      </c>
      <c r="H17" s="43" t="s">
        <v>23</v>
      </c>
      <c r="I17" s="4"/>
      <c r="J17" s="4" t="s">
        <v>25</v>
      </c>
      <c r="K17" s="5"/>
      <c r="L17" s="5">
        <v>1200000</v>
      </c>
    </row>
    <row r="18" spans="2:12" ht="18" customHeight="1" x14ac:dyDescent="0.25">
      <c r="B18" s="43">
        <v>627</v>
      </c>
      <c r="C18" s="4" t="s">
        <v>9</v>
      </c>
      <c r="D18" s="6"/>
      <c r="E18" s="5">
        <f>L20</f>
        <v>300000</v>
      </c>
      <c r="G18" s="43"/>
      <c r="H18" s="43"/>
      <c r="I18" s="4"/>
      <c r="J18" s="4" t="s">
        <v>27</v>
      </c>
      <c r="K18" s="5"/>
      <c r="L18" s="5">
        <v>500000</v>
      </c>
    </row>
    <row r="19" spans="2:12" ht="18" customHeight="1" x14ac:dyDescent="0.25">
      <c r="B19" s="43"/>
      <c r="C19" s="4" t="s">
        <v>10</v>
      </c>
      <c r="D19" s="6"/>
      <c r="E19" s="5">
        <f>L21</f>
        <v>200000</v>
      </c>
      <c r="G19" s="43"/>
      <c r="H19" s="43"/>
      <c r="I19" s="4"/>
      <c r="J19" s="4" t="s">
        <v>28</v>
      </c>
      <c r="K19" s="5"/>
      <c r="L19" s="5">
        <v>200000</v>
      </c>
    </row>
    <row r="20" spans="2:12" ht="18" customHeight="1" x14ac:dyDescent="0.25">
      <c r="B20" s="43"/>
      <c r="C20" s="4" t="s">
        <v>11</v>
      </c>
      <c r="D20" s="6"/>
      <c r="E20" s="5">
        <f>L22</f>
        <v>100000</v>
      </c>
      <c r="G20" s="43"/>
      <c r="H20" s="6" t="s">
        <v>9</v>
      </c>
      <c r="I20" s="4"/>
      <c r="J20" s="4" t="s">
        <v>29</v>
      </c>
      <c r="K20" s="5"/>
      <c r="L20" s="5">
        <v>300000</v>
      </c>
    </row>
    <row r="21" spans="2:12" ht="18" customHeight="1" x14ac:dyDescent="0.25">
      <c r="B21" s="43"/>
      <c r="C21" s="4" t="s">
        <v>23</v>
      </c>
      <c r="D21" s="6"/>
      <c r="E21" s="5">
        <f>SUM(L17:L19)</f>
        <v>1900000</v>
      </c>
      <c r="G21" s="43"/>
      <c r="H21" s="6" t="s">
        <v>10</v>
      </c>
      <c r="I21" s="4"/>
      <c r="J21" s="4" t="s">
        <v>29</v>
      </c>
      <c r="K21" s="5"/>
      <c r="L21" s="5">
        <v>200000</v>
      </c>
    </row>
    <row r="22" spans="2:12" ht="18" customHeight="1" x14ac:dyDescent="0.25">
      <c r="B22" s="18"/>
      <c r="C22" s="19"/>
      <c r="D22" s="18"/>
      <c r="G22" s="43"/>
      <c r="H22" s="6" t="s">
        <v>11</v>
      </c>
      <c r="I22" s="4"/>
      <c r="J22" s="4" t="s">
        <v>29</v>
      </c>
      <c r="K22" s="5"/>
      <c r="L22" s="5">
        <v>100000</v>
      </c>
    </row>
    <row r="24" spans="2:12" ht="18" customHeight="1" x14ac:dyDescent="0.25">
      <c r="B24" s="53" t="s">
        <v>33</v>
      </c>
      <c r="C24" s="53"/>
      <c r="D24" s="53"/>
      <c r="G24" s="54" t="s">
        <v>35</v>
      </c>
      <c r="H24" s="54"/>
      <c r="I24" s="54"/>
      <c r="J24" s="54"/>
      <c r="K24" s="54"/>
      <c r="L24" s="54"/>
    </row>
    <row r="25" spans="2:12" ht="18" customHeight="1" x14ac:dyDescent="0.25">
      <c r="B25" s="15" t="s">
        <v>8</v>
      </c>
      <c r="C25" s="15" t="s">
        <v>19</v>
      </c>
      <c r="D25" s="16" t="s">
        <v>34</v>
      </c>
      <c r="G25" s="55" t="s">
        <v>19</v>
      </c>
      <c r="H25" s="56"/>
      <c r="I25" s="21">
        <v>621</v>
      </c>
      <c r="J25" s="21">
        <v>622</v>
      </c>
      <c r="K25" s="21">
        <v>627</v>
      </c>
      <c r="L25" s="20" t="s">
        <v>36</v>
      </c>
    </row>
    <row r="26" spans="2:12" ht="18" customHeight="1" x14ac:dyDescent="0.25">
      <c r="B26" s="43" t="s">
        <v>9</v>
      </c>
      <c r="C26" s="8" t="s">
        <v>3</v>
      </c>
      <c r="D26" s="17">
        <v>1</v>
      </c>
      <c r="G26" s="52" t="s">
        <v>3</v>
      </c>
      <c r="H26" s="52"/>
      <c r="I26" s="5">
        <f>0.3*20500+0.7*20500</f>
        <v>20500</v>
      </c>
      <c r="J26" s="5">
        <v>1000</v>
      </c>
      <c r="K26" s="5">
        <v>160</v>
      </c>
      <c r="L26" s="5">
        <f>SUM(I26:K26)</f>
        <v>21660</v>
      </c>
    </row>
    <row r="27" spans="2:12" ht="18" customHeight="1" x14ac:dyDescent="0.25">
      <c r="B27" s="43"/>
      <c r="C27" s="8" t="s">
        <v>4</v>
      </c>
      <c r="D27" s="17">
        <v>1</v>
      </c>
      <c r="G27" s="52" t="s">
        <v>4</v>
      </c>
      <c r="H27" s="52"/>
      <c r="I27" s="5">
        <f>0.6*21500 + 0.4*22000</f>
        <v>21700</v>
      </c>
      <c r="J27" s="5">
        <v>1200</v>
      </c>
      <c r="K27" s="5">
        <v>160</v>
      </c>
      <c r="L27" s="5">
        <f>SUM(I27:K27)</f>
        <v>23060</v>
      </c>
    </row>
    <row r="28" spans="2:12" ht="18" customHeight="1" x14ac:dyDescent="0.25">
      <c r="B28" s="43" t="s">
        <v>10</v>
      </c>
      <c r="C28" s="8" t="s">
        <v>6</v>
      </c>
      <c r="D28" s="17">
        <v>1</v>
      </c>
      <c r="G28" s="52" t="s">
        <v>6</v>
      </c>
      <c r="H28" s="52"/>
      <c r="I28" s="5">
        <f>L26</f>
        <v>21660</v>
      </c>
      <c r="J28" s="5">
        <v>1500</v>
      </c>
      <c r="K28" s="5">
        <v>140</v>
      </c>
      <c r="L28" s="5">
        <f>SUM(I28:K28)</f>
        <v>23300</v>
      </c>
    </row>
    <row r="29" spans="2:12" ht="18" customHeight="1" x14ac:dyDescent="0.25">
      <c r="B29" s="43"/>
      <c r="C29" s="8" t="s">
        <v>7</v>
      </c>
      <c r="D29" s="17">
        <v>1</v>
      </c>
      <c r="G29" s="52" t="s">
        <v>7</v>
      </c>
      <c r="H29" s="52"/>
      <c r="I29" s="5">
        <f>L27</f>
        <v>23060</v>
      </c>
      <c r="J29" s="5">
        <v>1800</v>
      </c>
      <c r="K29" s="5">
        <v>130</v>
      </c>
      <c r="L29" s="5">
        <f>SUM(I29:K29)</f>
        <v>24990</v>
      </c>
    </row>
    <row r="30" spans="2:12" ht="18" customHeight="1" x14ac:dyDescent="0.25">
      <c r="B30" s="6" t="s">
        <v>11</v>
      </c>
      <c r="C30" s="8" t="s">
        <v>5</v>
      </c>
      <c r="D30" s="17">
        <v>1</v>
      </c>
      <c r="G30" s="52" t="s">
        <v>5</v>
      </c>
      <c r="H30" s="52"/>
      <c r="I30" s="5">
        <f>0.5*L28+0.5*L29</f>
        <v>24145</v>
      </c>
      <c r="J30" s="5">
        <v>2000</v>
      </c>
      <c r="K30" s="5">
        <v>100</v>
      </c>
      <c r="L30" s="5">
        <f>SUM(I30:K30)</f>
        <v>26245</v>
      </c>
    </row>
    <row r="31" spans="2:12" ht="18" customHeight="1" x14ac:dyDescent="0.25">
      <c r="B31" s="43" t="s">
        <v>23</v>
      </c>
      <c r="C31" s="8" t="s">
        <v>3</v>
      </c>
      <c r="D31" s="17">
        <v>1</v>
      </c>
    </row>
    <row r="32" spans="2:12" ht="18" customHeight="1" x14ac:dyDescent="0.25">
      <c r="B32" s="43"/>
      <c r="C32" s="8" t="s">
        <v>4</v>
      </c>
      <c r="D32" s="17">
        <v>1</v>
      </c>
    </row>
    <row r="33" spans="2:4" ht="18" customHeight="1" x14ac:dyDescent="0.25">
      <c r="B33" s="43"/>
      <c r="C33" s="8" t="s">
        <v>6</v>
      </c>
      <c r="D33" s="17">
        <v>0.8</v>
      </c>
    </row>
    <row r="34" spans="2:4" ht="18" customHeight="1" x14ac:dyDescent="0.25">
      <c r="B34" s="43"/>
      <c r="C34" s="8" t="s">
        <v>7</v>
      </c>
      <c r="D34" s="17">
        <v>0.8</v>
      </c>
    </row>
    <row r="35" spans="2:4" ht="18" customHeight="1" x14ac:dyDescent="0.25">
      <c r="B35" s="43"/>
      <c r="C35" s="8" t="s">
        <v>5</v>
      </c>
      <c r="D35" s="17">
        <v>0.5</v>
      </c>
    </row>
  </sheetData>
  <mergeCells count="31">
    <mergeCell ref="B28:B29"/>
    <mergeCell ref="B31:B35"/>
    <mergeCell ref="B24:D24"/>
    <mergeCell ref="G26:H26"/>
    <mergeCell ref="G27:H27"/>
    <mergeCell ref="G28:H28"/>
    <mergeCell ref="G29:H29"/>
    <mergeCell ref="G30:H30"/>
    <mergeCell ref="G24:L24"/>
    <mergeCell ref="G25:H25"/>
    <mergeCell ref="B2:E2"/>
    <mergeCell ref="G4:G11"/>
    <mergeCell ref="G2:L2"/>
    <mergeCell ref="B10:E10"/>
    <mergeCell ref="B26:B27"/>
    <mergeCell ref="I4:I5"/>
    <mergeCell ref="I6:I7"/>
    <mergeCell ref="I10:I11"/>
    <mergeCell ref="B4:B5"/>
    <mergeCell ref="B6:B7"/>
    <mergeCell ref="B12:B14"/>
    <mergeCell ref="B15:B17"/>
    <mergeCell ref="B18:B21"/>
    <mergeCell ref="H4:H7"/>
    <mergeCell ref="H8:H9"/>
    <mergeCell ref="H10:H11"/>
    <mergeCell ref="G12:G16"/>
    <mergeCell ref="G17:G22"/>
    <mergeCell ref="H12:H13"/>
    <mergeCell ref="H14:H15"/>
    <mergeCell ref="H17:H19"/>
  </mergeCells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N55"/>
  <sheetViews>
    <sheetView workbookViewId="0">
      <selection activeCell="D39" sqref="D39"/>
    </sheetView>
  </sheetViews>
  <sheetFormatPr defaultRowHeight="18" customHeight="1" x14ac:dyDescent="0.2"/>
  <cols>
    <col min="1" max="1" width="9.140625" style="2"/>
    <col min="2" max="3" width="16.7109375" style="2" customWidth="1"/>
    <col min="4" max="9" width="14.7109375" style="2" customWidth="1"/>
    <col min="10" max="10" width="15.28515625" style="2" customWidth="1"/>
    <col min="11" max="11" width="9.140625" style="28"/>
    <col min="12" max="12" width="16.85546875" style="28" bestFit="1" customWidth="1"/>
    <col min="13" max="14" width="13.140625" style="28" customWidth="1"/>
    <col min="15" max="16384" width="9.140625" style="28"/>
  </cols>
  <sheetData>
    <row r="3" spans="2:9" ht="18" customHeight="1" x14ac:dyDescent="0.2">
      <c r="B3" s="57" t="s">
        <v>37</v>
      </c>
      <c r="C3" s="57"/>
      <c r="D3" s="57"/>
      <c r="E3" s="57"/>
      <c r="F3" s="57"/>
      <c r="G3" s="57"/>
      <c r="H3" s="57"/>
      <c r="I3" s="57"/>
    </row>
    <row r="4" spans="2:9" ht="18" customHeight="1" x14ac:dyDescent="0.2">
      <c r="B4" s="65" t="s">
        <v>19</v>
      </c>
      <c r="C4" s="67" t="s">
        <v>8</v>
      </c>
      <c r="D4" s="62" t="s">
        <v>38</v>
      </c>
      <c r="E4" s="63"/>
      <c r="F4" s="63"/>
      <c r="G4" s="63"/>
      <c r="H4" s="63"/>
      <c r="I4" s="64"/>
    </row>
    <row r="5" spans="2:9" ht="18" customHeight="1" x14ac:dyDescent="0.2">
      <c r="B5" s="66"/>
      <c r="C5" s="68"/>
      <c r="D5" s="24" t="s">
        <v>40</v>
      </c>
      <c r="E5" s="24" t="s">
        <v>41</v>
      </c>
      <c r="F5" s="24" t="s">
        <v>42</v>
      </c>
      <c r="G5" s="24" t="s">
        <v>43</v>
      </c>
      <c r="H5" s="25" t="s">
        <v>44</v>
      </c>
      <c r="I5" s="23" t="s">
        <v>45</v>
      </c>
    </row>
    <row r="6" spans="2:9" ht="18" customHeight="1" x14ac:dyDescent="0.2">
      <c r="B6" s="8" t="s">
        <v>3</v>
      </c>
      <c r="C6" s="8"/>
      <c r="D6" s="5">
        <f>'Dữ liệu nguồn'!E4*'Dữ liệu nguồn'!I26</f>
        <v>20500000</v>
      </c>
      <c r="E6" s="5">
        <f>'Dữ liệu nguồn'!E4*'Dữ liệu nguồn'!J26</f>
        <v>1000000</v>
      </c>
      <c r="F6" s="5">
        <f>'Dữ liệu nguồn'!E4*'Dữ liệu nguồn'!K26</f>
        <v>160000</v>
      </c>
      <c r="G6" s="5">
        <f>'Dữ liệu nguồn'!E4*'Dữ liệu nguồn'!L26</f>
        <v>21660000</v>
      </c>
      <c r="H6" s="5">
        <f>'Dữ liệu nguồn'!E4</f>
        <v>1000</v>
      </c>
      <c r="I6" s="5">
        <f>SUM('Dữ liệu nguồn'!L4:L5)</f>
        <v>20700000</v>
      </c>
    </row>
    <row r="7" spans="2:9" ht="18" customHeight="1" x14ac:dyDescent="0.2">
      <c r="B7" s="8" t="s">
        <v>4</v>
      </c>
      <c r="C7" s="8"/>
      <c r="D7" s="5">
        <f>'Dữ liệu nguồn'!E5*'Dữ liệu nguồn'!I27</f>
        <v>43400000</v>
      </c>
      <c r="E7" s="5">
        <f>'Dữ liệu nguồn'!E5*'Dữ liệu nguồn'!J27</f>
        <v>2400000</v>
      </c>
      <c r="F7" s="5">
        <f>'Dữ liệu nguồn'!E5*'Dữ liệu nguồn'!K27</f>
        <v>320000</v>
      </c>
      <c r="G7" s="5">
        <f>'Dữ liệu nguồn'!E5*'Dữ liệu nguồn'!L27</f>
        <v>46120000</v>
      </c>
      <c r="H7" s="5">
        <f>'Dữ liệu nguồn'!E5</f>
        <v>2000</v>
      </c>
      <c r="I7" s="5">
        <f>SUM('Dữ liệu nguồn'!L6:L7)</f>
        <v>44800000</v>
      </c>
    </row>
    <row r="8" spans="2:9" ht="18" customHeight="1" x14ac:dyDescent="0.2">
      <c r="B8" s="8" t="s">
        <v>6</v>
      </c>
      <c r="C8" s="8"/>
      <c r="D8" s="5">
        <f>'Dữ liệu nguồn'!E6*'Dữ liệu nguồn'!I28</f>
        <v>10830000</v>
      </c>
      <c r="E8" s="5">
        <f>'Dữ liệu nguồn'!E6*'Dữ liệu nguồn'!J28</f>
        <v>750000</v>
      </c>
      <c r="F8" s="5">
        <f>'Dữ liệu nguồn'!E6*'Dữ liệu nguồn'!K28</f>
        <v>70000</v>
      </c>
      <c r="G8" s="5">
        <f>'Dữ liệu nguồn'!E6*'Dữ liệu nguồn'!L28</f>
        <v>11650000</v>
      </c>
      <c r="H8" s="5">
        <f>'Dữ liệu nguồn'!E6</f>
        <v>500</v>
      </c>
      <c r="I8" s="5">
        <f>'Dữ liệu nguồn'!I28*'Dữ liệu nguồn'!E6</f>
        <v>10830000</v>
      </c>
    </row>
    <row r="9" spans="2:9" ht="18" customHeight="1" x14ac:dyDescent="0.2">
      <c r="B9" s="8" t="s">
        <v>7</v>
      </c>
      <c r="C9" s="8"/>
      <c r="D9" s="5">
        <f>'Dữ liệu nguồn'!E7*'Dữ liệu nguồn'!I29</f>
        <v>16142000</v>
      </c>
      <c r="E9" s="5">
        <f>'Dữ liệu nguồn'!E7*'Dữ liệu nguồn'!J29</f>
        <v>1260000</v>
      </c>
      <c r="F9" s="5">
        <f>'Dữ liệu nguồn'!E7*'Dữ liệu nguồn'!K29</f>
        <v>91000</v>
      </c>
      <c r="G9" s="5">
        <f>'Dữ liệu nguồn'!E7*'Dữ liệu nguồn'!L29</f>
        <v>17493000</v>
      </c>
      <c r="H9" s="5">
        <f>'Dữ liệu nguồn'!E7</f>
        <v>700</v>
      </c>
      <c r="I9" s="5">
        <f>'Dữ liệu nguồn'!I29*'Dữ liệu nguồn'!E7</f>
        <v>16142000</v>
      </c>
    </row>
    <row r="10" spans="2:9" ht="18" customHeight="1" x14ac:dyDescent="0.2">
      <c r="B10" s="8" t="s">
        <v>5</v>
      </c>
      <c r="C10" s="8"/>
      <c r="D10" s="5">
        <f>'Dữ liệu nguồn'!E8*'Dữ liệu nguồn'!I30</f>
        <v>12072500</v>
      </c>
      <c r="E10" s="5">
        <f>'Dữ liệu nguồn'!E8*'Dữ liệu nguồn'!J30</f>
        <v>1000000</v>
      </c>
      <c r="F10" s="5">
        <f>'Dữ liệu nguồn'!E8*'Dữ liệu nguồn'!K30</f>
        <v>50000</v>
      </c>
      <c r="G10" s="5">
        <f>'Dữ liệu nguồn'!E8*'Dữ liệu nguồn'!L30</f>
        <v>13122500</v>
      </c>
      <c r="H10" s="5">
        <f>'Dữ liệu nguồn'!E8</f>
        <v>500</v>
      </c>
      <c r="I10" s="5">
        <f>'Dữ liệu nguồn'!I30*'Dữ liệu nguồn'!E8</f>
        <v>12072500</v>
      </c>
    </row>
    <row r="11" spans="2:9" ht="18" customHeight="1" x14ac:dyDescent="0.2">
      <c r="B11" s="22" t="s">
        <v>39</v>
      </c>
      <c r="C11" s="22"/>
      <c r="D11" s="29">
        <f>SUM(D6:D10)</f>
        <v>102944500</v>
      </c>
      <c r="E11" s="29">
        <f t="shared" ref="E11:I11" si="0">SUM(E6:E10)</f>
        <v>6410000</v>
      </c>
      <c r="F11" s="29">
        <f t="shared" si="0"/>
        <v>691000</v>
      </c>
      <c r="G11" s="29">
        <f t="shared" si="0"/>
        <v>110045500</v>
      </c>
      <c r="H11" s="29">
        <f t="shared" si="0"/>
        <v>4700</v>
      </c>
      <c r="I11" s="29">
        <f t="shared" si="0"/>
        <v>104544500</v>
      </c>
    </row>
    <row r="13" spans="2:9" ht="18" customHeight="1" x14ac:dyDescent="0.2">
      <c r="B13" s="57" t="s">
        <v>46</v>
      </c>
      <c r="C13" s="57"/>
      <c r="D13" s="57"/>
      <c r="E13" s="57"/>
      <c r="F13" s="57"/>
      <c r="G13" s="57"/>
      <c r="H13" s="57"/>
      <c r="I13" s="57"/>
    </row>
    <row r="14" spans="2:9" ht="18" customHeight="1" x14ac:dyDescent="0.2">
      <c r="B14" s="65" t="s">
        <v>19</v>
      </c>
      <c r="C14" s="67" t="s">
        <v>8</v>
      </c>
      <c r="D14" s="62" t="s">
        <v>38</v>
      </c>
      <c r="E14" s="63"/>
      <c r="F14" s="63"/>
      <c r="G14" s="63"/>
      <c r="H14" s="63"/>
      <c r="I14" s="64"/>
    </row>
    <row r="15" spans="2:9" ht="18" customHeight="1" x14ac:dyDescent="0.2">
      <c r="B15" s="66"/>
      <c r="C15" s="68"/>
      <c r="D15" s="24" t="s">
        <v>40</v>
      </c>
      <c r="E15" s="24" t="s">
        <v>41</v>
      </c>
      <c r="F15" s="24" t="s">
        <v>42</v>
      </c>
      <c r="G15" s="24" t="s">
        <v>43</v>
      </c>
      <c r="H15" s="25" t="s">
        <v>44</v>
      </c>
      <c r="I15" s="23" t="s">
        <v>45</v>
      </c>
    </row>
    <row r="16" spans="2:9" ht="18" customHeight="1" x14ac:dyDescent="0.2">
      <c r="B16" s="8" t="s">
        <v>3</v>
      </c>
      <c r="C16" s="43" t="s">
        <v>9</v>
      </c>
      <c r="D16" s="5">
        <f>D6</f>
        <v>20500000</v>
      </c>
      <c r="E16" s="5">
        <f t="shared" ref="E16:I16" si="1">E6</f>
        <v>1000000</v>
      </c>
      <c r="F16" s="5">
        <f t="shared" si="1"/>
        <v>160000</v>
      </c>
      <c r="G16" s="5">
        <f t="shared" si="1"/>
        <v>21660000</v>
      </c>
      <c r="H16" s="5">
        <f t="shared" si="1"/>
        <v>1000</v>
      </c>
      <c r="I16" s="5">
        <f t="shared" si="1"/>
        <v>20700000</v>
      </c>
    </row>
    <row r="17" spans="2:11" ht="18" customHeight="1" x14ac:dyDescent="0.2">
      <c r="B17" s="8" t="s">
        <v>4</v>
      </c>
      <c r="C17" s="43"/>
      <c r="D17" s="5">
        <f>D7</f>
        <v>43400000</v>
      </c>
      <c r="E17" s="5">
        <f t="shared" ref="E17:I17" si="2">E7</f>
        <v>2400000</v>
      </c>
      <c r="F17" s="5">
        <f t="shared" si="2"/>
        <v>320000</v>
      </c>
      <c r="G17" s="5">
        <f t="shared" si="2"/>
        <v>46120000</v>
      </c>
      <c r="H17" s="5">
        <f t="shared" si="2"/>
        <v>2000</v>
      </c>
      <c r="I17" s="5">
        <f t="shared" si="2"/>
        <v>44800000</v>
      </c>
    </row>
    <row r="18" spans="2:11" ht="18" customHeight="1" x14ac:dyDescent="0.2">
      <c r="B18" s="69" t="s">
        <v>47</v>
      </c>
      <c r="C18" s="69"/>
      <c r="D18" s="26">
        <f>SUM(D16:D17)</f>
        <v>63900000</v>
      </c>
      <c r="E18" s="26">
        <f t="shared" ref="E18:I18" si="3">SUM(E16:E17)</f>
        <v>3400000</v>
      </c>
      <c r="F18" s="26">
        <f t="shared" si="3"/>
        <v>480000</v>
      </c>
      <c r="G18" s="26">
        <f t="shared" si="3"/>
        <v>67780000</v>
      </c>
      <c r="H18" s="26">
        <f t="shared" si="3"/>
        <v>3000</v>
      </c>
      <c r="I18" s="26">
        <f t="shared" si="3"/>
        <v>65500000</v>
      </c>
    </row>
    <row r="19" spans="2:11" ht="18" customHeight="1" x14ac:dyDescent="0.2">
      <c r="B19" s="8" t="s">
        <v>6</v>
      </c>
      <c r="C19" s="43" t="s">
        <v>10</v>
      </c>
      <c r="D19" s="5">
        <f>D8</f>
        <v>10830000</v>
      </c>
      <c r="E19" s="5">
        <f t="shared" ref="E19:I19" si="4">E8</f>
        <v>750000</v>
      </c>
      <c r="F19" s="5">
        <f t="shared" si="4"/>
        <v>70000</v>
      </c>
      <c r="G19" s="5">
        <f t="shared" si="4"/>
        <v>11650000</v>
      </c>
      <c r="H19" s="5">
        <f t="shared" si="4"/>
        <v>500</v>
      </c>
      <c r="I19" s="5">
        <f t="shared" si="4"/>
        <v>10830000</v>
      </c>
    </row>
    <row r="20" spans="2:11" ht="18" customHeight="1" x14ac:dyDescent="0.2">
      <c r="B20" s="8" t="s">
        <v>7</v>
      </c>
      <c r="C20" s="43"/>
      <c r="D20" s="5">
        <f>D9</f>
        <v>16142000</v>
      </c>
      <c r="E20" s="5">
        <f t="shared" ref="E20:I20" si="5">E9</f>
        <v>1260000</v>
      </c>
      <c r="F20" s="5">
        <f t="shared" si="5"/>
        <v>91000</v>
      </c>
      <c r="G20" s="5">
        <f t="shared" si="5"/>
        <v>17493000</v>
      </c>
      <c r="H20" s="5">
        <f t="shared" si="5"/>
        <v>700</v>
      </c>
      <c r="I20" s="5">
        <f t="shared" si="5"/>
        <v>16142000</v>
      </c>
    </row>
    <row r="21" spans="2:11" ht="18" customHeight="1" x14ac:dyDescent="0.2">
      <c r="B21" s="69" t="s">
        <v>48</v>
      </c>
      <c r="C21" s="69"/>
      <c r="D21" s="26">
        <f>SUM(D19:D20)</f>
        <v>26972000</v>
      </c>
      <c r="E21" s="26">
        <f t="shared" ref="E21:I21" si="6">SUM(E19:E20)</f>
        <v>2010000</v>
      </c>
      <c r="F21" s="26">
        <f t="shared" si="6"/>
        <v>161000</v>
      </c>
      <c r="G21" s="26">
        <f t="shared" si="6"/>
        <v>29143000</v>
      </c>
      <c r="H21" s="26">
        <f t="shared" si="6"/>
        <v>1200</v>
      </c>
      <c r="I21" s="26">
        <f t="shared" si="6"/>
        <v>26972000</v>
      </c>
    </row>
    <row r="22" spans="2:11" ht="18" customHeight="1" x14ac:dyDescent="0.2">
      <c r="B22" s="8" t="s">
        <v>5</v>
      </c>
      <c r="C22" s="6" t="s">
        <v>11</v>
      </c>
      <c r="D22" s="5">
        <f>D10</f>
        <v>12072500</v>
      </c>
      <c r="E22" s="5">
        <f t="shared" ref="E22:I22" si="7">E10</f>
        <v>1000000</v>
      </c>
      <c r="F22" s="5">
        <f t="shared" si="7"/>
        <v>50000</v>
      </c>
      <c r="G22" s="5">
        <f t="shared" si="7"/>
        <v>13122500</v>
      </c>
      <c r="H22" s="5">
        <f t="shared" si="7"/>
        <v>500</v>
      </c>
      <c r="I22" s="5">
        <f t="shared" si="7"/>
        <v>12072500</v>
      </c>
    </row>
    <row r="23" spans="2:11" ht="18" customHeight="1" x14ac:dyDescent="0.2">
      <c r="B23" s="69" t="s">
        <v>49</v>
      </c>
      <c r="C23" s="69"/>
      <c r="D23" s="26">
        <f>SUM(D22)</f>
        <v>12072500</v>
      </c>
      <c r="E23" s="26">
        <f t="shared" ref="E23:I23" si="8">SUM(E22)</f>
        <v>1000000</v>
      </c>
      <c r="F23" s="26">
        <f t="shared" si="8"/>
        <v>50000</v>
      </c>
      <c r="G23" s="26">
        <f t="shared" si="8"/>
        <v>13122500</v>
      </c>
      <c r="H23" s="26">
        <f t="shared" si="8"/>
        <v>500</v>
      </c>
      <c r="I23" s="26">
        <f t="shared" si="8"/>
        <v>12072500</v>
      </c>
    </row>
    <row r="24" spans="2:11" ht="18" customHeight="1" x14ac:dyDescent="0.2">
      <c r="B24" s="8" t="s">
        <v>3</v>
      </c>
      <c r="C24" s="61" t="s">
        <v>23</v>
      </c>
      <c r="D24" s="30">
        <f>D6</f>
        <v>20500000</v>
      </c>
      <c r="E24" s="30">
        <f t="shared" ref="E24:I24" si="9">E6</f>
        <v>1000000</v>
      </c>
      <c r="F24" s="30">
        <f t="shared" si="9"/>
        <v>160000</v>
      </c>
      <c r="G24" s="30">
        <f t="shared" si="9"/>
        <v>21660000</v>
      </c>
      <c r="H24" s="30">
        <f t="shared" si="9"/>
        <v>1000</v>
      </c>
      <c r="I24" s="30">
        <f t="shared" si="9"/>
        <v>20700000</v>
      </c>
    </row>
    <row r="25" spans="2:11" ht="18" customHeight="1" x14ac:dyDescent="0.2">
      <c r="B25" s="8" t="s">
        <v>4</v>
      </c>
      <c r="C25" s="61"/>
      <c r="D25" s="30">
        <f>D7</f>
        <v>43400000</v>
      </c>
      <c r="E25" s="30">
        <f t="shared" ref="E25:I25" si="10">E7</f>
        <v>2400000</v>
      </c>
      <c r="F25" s="30">
        <f t="shared" si="10"/>
        <v>320000</v>
      </c>
      <c r="G25" s="30">
        <f t="shared" si="10"/>
        <v>46120000</v>
      </c>
      <c r="H25" s="30">
        <f t="shared" si="10"/>
        <v>2000</v>
      </c>
      <c r="I25" s="30">
        <f t="shared" si="10"/>
        <v>44800000</v>
      </c>
    </row>
    <row r="26" spans="2:11" ht="18" customHeight="1" x14ac:dyDescent="0.2">
      <c r="B26" s="8" t="s">
        <v>6</v>
      </c>
      <c r="C26" s="61"/>
      <c r="D26" s="31">
        <f>D8*0.8</f>
        <v>8664000</v>
      </c>
      <c r="E26" s="31">
        <f t="shared" ref="E26:I26" si="11">E8*0.8</f>
        <v>600000</v>
      </c>
      <c r="F26" s="31">
        <f t="shared" si="11"/>
        <v>56000</v>
      </c>
      <c r="G26" s="31">
        <f t="shared" si="11"/>
        <v>9320000</v>
      </c>
      <c r="H26" s="31">
        <f t="shared" si="11"/>
        <v>400</v>
      </c>
      <c r="I26" s="31">
        <f t="shared" si="11"/>
        <v>8664000</v>
      </c>
    </row>
    <row r="27" spans="2:11" ht="18" customHeight="1" x14ac:dyDescent="0.2">
      <c r="B27" s="8" t="s">
        <v>7</v>
      </c>
      <c r="C27" s="61"/>
      <c r="D27" s="31">
        <f>D9*0.8</f>
        <v>12913600</v>
      </c>
      <c r="E27" s="31">
        <f t="shared" ref="E27:I27" si="12">E9*0.8</f>
        <v>1008000</v>
      </c>
      <c r="F27" s="31">
        <f t="shared" si="12"/>
        <v>72800</v>
      </c>
      <c r="G27" s="31">
        <f t="shared" si="12"/>
        <v>13994400</v>
      </c>
      <c r="H27" s="31">
        <f t="shared" si="12"/>
        <v>560</v>
      </c>
      <c r="I27" s="31">
        <f t="shared" si="12"/>
        <v>12913600</v>
      </c>
    </row>
    <row r="28" spans="2:11" ht="18" customHeight="1" x14ac:dyDescent="0.2">
      <c r="B28" s="8" t="s">
        <v>5</v>
      </c>
      <c r="C28" s="61"/>
      <c r="D28" s="31">
        <f>D10*0.5</f>
        <v>6036250</v>
      </c>
      <c r="E28" s="31">
        <f t="shared" ref="E28:I28" si="13">E10*0.5</f>
        <v>500000</v>
      </c>
      <c r="F28" s="31">
        <f t="shared" si="13"/>
        <v>25000</v>
      </c>
      <c r="G28" s="31">
        <f t="shared" si="13"/>
        <v>6561250</v>
      </c>
      <c r="H28" s="31">
        <f t="shared" si="13"/>
        <v>250</v>
      </c>
      <c r="I28" s="31">
        <f t="shared" si="13"/>
        <v>6036250</v>
      </c>
    </row>
    <row r="29" spans="2:11" ht="18" customHeight="1" x14ac:dyDescent="0.2">
      <c r="B29" s="69" t="s">
        <v>50</v>
      </c>
      <c r="C29" s="69"/>
      <c r="D29" s="32">
        <f>SUM(D24:D28)</f>
        <v>91513850</v>
      </c>
      <c r="E29" s="32">
        <f t="shared" ref="E29:I29" si="14">SUM(E24:E28)</f>
        <v>5508000</v>
      </c>
      <c r="F29" s="32">
        <f t="shared" si="14"/>
        <v>633800</v>
      </c>
      <c r="G29" s="32">
        <f t="shared" si="14"/>
        <v>97655650</v>
      </c>
      <c r="H29" s="32">
        <f t="shared" si="14"/>
        <v>4210</v>
      </c>
      <c r="I29" s="32">
        <f t="shared" si="14"/>
        <v>93113850</v>
      </c>
    </row>
    <row r="32" spans="2:11" ht="18" customHeight="1" x14ac:dyDescent="0.2">
      <c r="B32" s="59" t="s">
        <v>61</v>
      </c>
      <c r="C32" s="60"/>
      <c r="D32" s="60"/>
      <c r="E32" s="60"/>
      <c r="F32" s="60"/>
      <c r="G32" s="60"/>
      <c r="H32" s="60"/>
      <c r="I32" s="60"/>
      <c r="J32" s="60"/>
      <c r="K32" s="60"/>
    </row>
    <row r="33" spans="2:14" ht="18" customHeight="1" x14ac:dyDescent="0.2">
      <c r="B33" s="65" t="s">
        <v>19</v>
      </c>
      <c r="C33" s="67" t="s">
        <v>13</v>
      </c>
      <c r="D33" s="67" t="s">
        <v>8</v>
      </c>
      <c r="E33" s="71" t="s">
        <v>52</v>
      </c>
      <c r="F33" s="66" t="s">
        <v>51</v>
      </c>
      <c r="G33" s="70"/>
      <c r="H33" s="70"/>
      <c r="I33" s="70"/>
      <c r="J33" s="70"/>
      <c r="K33" s="70"/>
      <c r="L33" s="58" t="s">
        <v>58</v>
      </c>
      <c r="M33" s="58" t="s">
        <v>59</v>
      </c>
      <c r="N33" s="58" t="s">
        <v>60</v>
      </c>
    </row>
    <row r="34" spans="2:14" ht="18" customHeight="1" x14ac:dyDescent="0.2">
      <c r="B34" s="66"/>
      <c r="C34" s="68"/>
      <c r="D34" s="68"/>
      <c r="E34" s="72"/>
      <c r="F34" s="24" t="s">
        <v>40</v>
      </c>
      <c r="G34" s="24" t="s">
        <v>41</v>
      </c>
      <c r="H34" s="24" t="s">
        <v>42</v>
      </c>
      <c r="I34" s="24" t="s">
        <v>43</v>
      </c>
      <c r="J34" s="25" t="s">
        <v>44</v>
      </c>
      <c r="K34" s="36" t="s">
        <v>45</v>
      </c>
      <c r="L34" s="58"/>
      <c r="M34" s="58"/>
      <c r="N34" s="58"/>
    </row>
    <row r="35" spans="2:14" ht="18" customHeight="1" x14ac:dyDescent="0.2">
      <c r="B35" s="73" t="s">
        <v>3</v>
      </c>
      <c r="C35" s="8">
        <v>621</v>
      </c>
      <c r="D35" s="8"/>
      <c r="E35" s="27">
        <f>SUM('Dữ liệu nguồn'!L4:L5)</f>
        <v>20700000</v>
      </c>
      <c r="F35" s="5"/>
      <c r="G35" s="5"/>
      <c r="H35" s="5"/>
      <c r="I35" s="5"/>
      <c r="J35" s="5"/>
      <c r="K35" s="37"/>
      <c r="L35" s="34">
        <f>SUM(E35:K35)</f>
        <v>20700000</v>
      </c>
      <c r="M35" s="34"/>
      <c r="N35" s="34">
        <f>L35/$M$38</f>
        <v>20700</v>
      </c>
    </row>
    <row r="36" spans="2:14" ht="18" customHeight="1" x14ac:dyDescent="0.2">
      <c r="B36" s="74"/>
      <c r="C36" s="8">
        <v>622</v>
      </c>
      <c r="D36" s="8"/>
      <c r="E36" s="27">
        <v>0</v>
      </c>
      <c r="F36" s="5"/>
      <c r="G36" s="5">
        <f>SUM('Dữ liệu nguồn'!E15:E17)/'Dữ liệu tính'!E11*'Dữ liệu tính'!E6</f>
        <v>1000000</v>
      </c>
      <c r="H36" s="5"/>
      <c r="I36" s="5"/>
      <c r="J36" s="5"/>
      <c r="K36" s="37"/>
      <c r="L36" s="34">
        <f t="shared" ref="L36:L38" si="15">SUM(E36:K36)</f>
        <v>1000000</v>
      </c>
      <c r="M36" s="34"/>
      <c r="N36" s="34">
        <f>L36/$M$38</f>
        <v>1000</v>
      </c>
    </row>
    <row r="37" spans="2:14" ht="18" customHeight="1" x14ac:dyDescent="0.2">
      <c r="B37" s="75"/>
      <c r="C37" s="8">
        <v>627</v>
      </c>
      <c r="D37" s="8"/>
      <c r="E37" s="27">
        <v>0</v>
      </c>
      <c r="F37" s="5"/>
      <c r="G37" s="5"/>
      <c r="H37" s="5">
        <f>SUM('Dữ liệu nguồn'!E18:E21)/'Dữ liệu tính'!F11*'Dữ liệu tính'!F6</f>
        <v>578871.20115774241</v>
      </c>
      <c r="I37" s="5"/>
      <c r="J37" s="5"/>
      <c r="K37" s="37"/>
      <c r="L37" s="34">
        <f t="shared" si="15"/>
        <v>578871.20115774241</v>
      </c>
      <c r="M37" s="34"/>
      <c r="N37" s="34">
        <f>L37/$M$38</f>
        <v>578.87120115774246</v>
      </c>
    </row>
    <row r="38" spans="2:14" ht="18" customHeight="1" x14ac:dyDescent="0.25">
      <c r="B38" s="76" t="s">
        <v>53</v>
      </c>
      <c r="C38" s="77"/>
      <c r="D38" s="78"/>
      <c r="E38" s="33">
        <f>SUM(E35:E37)</f>
        <v>20700000</v>
      </c>
      <c r="F38" s="33">
        <f t="shared" ref="F38:K38" si="16">SUM(F35:F37)</f>
        <v>0</v>
      </c>
      <c r="G38" s="33">
        <f t="shared" si="16"/>
        <v>1000000</v>
      </c>
      <c r="H38" s="33">
        <f t="shared" si="16"/>
        <v>578871.20115774241</v>
      </c>
      <c r="I38" s="33">
        <f t="shared" si="16"/>
        <v>0</v>
      </c>
      <c r="J38" s="33">
        <f t="shared" si="16"/>
        <v>0</v>
      </c>
      <c r="K38" s="38">
        <f t="shared" si="16"/>
        <v>0</v>
      </c>
      <c r="L38" s="39">
        <f t="shared" si="15"/>
        <v>22278871.201157741</v>
      </c>
      <c r="M38" s="39">
        <f>'Dữ liệu nguồn'!E4</f>
        <v>1000</v>
      </c>
      <c r="N38" s="39">
        <f>L38/M38</f>
        <v>22278.871201157741</v>
      </c>
    </row>
    <row r="39" spans="2:14" ht="18" customHeight="1" x14ac:dyDescent="0.2">
      <c r="B39" s="73" t="s">
        <v>4</v>
      </c>
      <c r="C39" s="14">
        <v>621</v>
      </c>
      <c r="D39" s="8"/>
      <c r="E39" s="27">
        <f>SUM('Dữ liệu nguồn'!L6:L7)</f>
        <v>44800000</v>
      </c>
      <c r="F39" s="5"/>
      <c r="G39" s="5"/>
      <c r="H39" s="5"/>
      <c r="I39" s="5"/>
      <c r="J39" s="5"/>
      <c r="K39" s="5"/>
      <c r="L39" s="34">
        <f>SUM(E39:K39)</f>
        <v>44800000</v>
      </c>
      <c r="M39" s="34"/>
      <c r="N39" s="34">
        <f>L39/$M$42</f>
        <v>22400</v>
      </c>
    </row>
    <row r="40" spans="2:14" ht="18" customHeight="1" x14ac:dyDescent="0.2">
      <c r="B40" s="74"/>
      <c r="C40" s="14">
        <v>622</v>
      </c>
      <c r="D40" s="8"/>
      <c r="E40" s="27">
        <v>0</v>
      </c>
      <c r="F40" s="5"/>
      <c r="G40" s="5">
        <f>SUM('Dữ liệu nguồn'!E15:E17)/'Dữ liệu tính'!E11*'Dữ liệu tính'!E7</f>
        <v>2400000</v>
      </c>
      <c r="H40" s="5"/>
      <c r="I40" s="5"/>
      <c r="J40" s="5"/>
      <c r="K40" s="5"/>
      <c r="L40" s="34">
        <f t="shared" ref="L40:L55" si="17">SUM(E40:K40)</f>
        <v>2400000</v>
      </c>
      <c r="M40" s="34"/>
      <c r="N40" s="34">
        <f>L40/$M$42</f>
        <v>1200</v>
      </c>
    </row>
    <row r="41" spans="2:14" ht="18" customHeight="1" x14ac:dyDescent="0.2">
      <c r="B41" s="75"/>
      <c r="C41" s="14">
        <v>627</v>
      </c>
      <c r="D41" s="8"/>
      <c r="E41" s="27">
        <v>0</v>
      </c>
      <c r="F41" s="5"/>
      <c r="G41" s="5"/>
      <c r="H41" s="5">
        <f>SUM('Dữ liệu nguồn'!E18:E21)/'Dữ liệu tính'!F11*'Dữ liệu tính'!F7</f>
        <v>1157742.4023154848</v>
      </c>
      <c r="I41" s="5"/>
      <c r="J41" s="5"/>
      <c r="K41" s="5"/>
      <c r="L41" s="34">
        <f t="shared" si="17"/>
        <v>1157742.4023154848</v>
      </c>
      <c r="M41" s="34"/>
      <c r="N41" s="34">
        <f>L41/$M$42</f>
        <v>578.87120115774246</v>
      </c>
    </row>
    <row r="42" spans="2:14" ht="18" customHeight="1" x14ac:dyDescent="0.25">
      <c r="B42" s="76" t="s">
        <v>54</v>
      </c>
      <c r="C42" s="77"/>
      <c r="D42" s="78"/>
      <c r="E42" s="33">
        <f>SUM(E39:E41)</f>
        <v>44800000</v>
      </c>
      <c r="F42" s="33">
        <f t="shared" ref="F42:K42" si="18">SUM(F39:F41)</f>
        <v>0</v>
      </c>
      <c r="G42" s="33">
        <f t="shared" si="18"/>
        <v>2400000</v>
      </c>
      <c r="H42" s="33">
        <f t="shared" si="18"/>
        <v>1157742.4023154848</v>
      </c>
      <c r="I42" s="33">
        <f t="shared" si="18"/>
        <v>0</v>
      </c>
      <c r="J42" s="33">
        <f t="shared" si="18"/>
        <v>0</v>
      </c>
      <c r="K42" s="33">
        <f t="shared" si="18"/>
        <v>0</v>
      </c>
      <c r="L42" s="39">
        <f t="shared" si="17"/>
        <v>48357742.402315482</v>
      </c>
      <c r="M42" s="39">
        <f>'Dữ liệu nguồn'!E5</f>
        <v>2000</v>
      </c>
      <c r="N42" s="39">
        <f>L42/M42</f>
        <v>24178.871201157741</v>
      </c>
    </row>
    <row r="43" spans="2:14" ht="18" customHeight="1" x14ac:dyDescent="0.2">
      <c r="B43" s="73" t="s">
        <v>6</v>
      </c>
      <c r="C43" s="14">
        <v>621</v>
      </c>
      <c r="D43" s="8"/>
      <c r="E43" s="27">
        <f>M46*N38</f>
        <v>11139435.600578871</v>
      </c>
      <c r="F43" s="5"/>
      <c r="G43" s="5"/>
      <c r="H43" s="5"/>
      <c r="I43" s="5"/>
      <c r="J43" s="5"/>
      <c r="K43" s="5"/>
      <c r="L43" s="40">
        <f t="shared" si="17"/>
        <v>11139435.600578871</v>
      </c>
      <c r="M43" s="34"/>
      <c r="N43" s="34">
        <f>L43/$M$46</f>
        <v>22278.871201157741</v>
      </c>
    </row>
    <row r="44" spans="2:14" ht="18" customHeight="1" x14ac:dyDescent="0.2">
      <c r="B44" s="74"/>
      <c r="C44" s="14">
        <v>622</v>
      </c>
      <c r="D44" s="8"/>
      <c r="E44" s="27"/>
      <c r="F44" s="5"/>
      <c r="G44" s="5">
        <f>SUM('Dữ liệu nguồn'!E15:E17)/'Dữ liệu tính'!E11*'Dữ liệu tính'!E8</f>
        <v>750000</v>
      </c>
      <c r="H44" s="5"/>
      <c r="I44" s="5"/>
      <c r="J44" s="5"/>
      <c r="K44" s="5"/>
      <c r="L44" s="40">
        <f t="shared" si="17"/>
        <v>750000</v>
      </c>
      <c r="M44" s="34"/>
      <c r="N44" s="34">
        <f>L44/$M$46</f>
        <v>1500</v>
      </c>
    </row>
    <row r="45" spans="2:14" ht="18" customHeight="1" x14ac:dyDescent="0.2">
      <c r="B45" s="75"/>
      <c r="C45" s="14">
        <v>627</v>
      </c>
      <c r="D45" s="8"/>
      <c r="E45" s="27"/>
      <c r="F45" s="5"/>
      <c r="G45" s="5"/>
      <c r="H45" s="5">
        <f>SUM('Dữ liệu nguồn'!E18:E21)/'Dữ liệu tính'!F11*'Dữ liệu tính'!F8</f>
        <v>253256.15050651229</v>
      </c>
      <c r="I45" s="5"/>
      <c r="J45" s="5"/>
      <c r="K45" s="5"/>
      <c r="L45" s="40">
        <f t="shared" si="17"/>
        <v>253256.15050651229</v>
      </c>
      <c r="M45" s="34"/>
      <c r="N45" s="34">
        <f>L45/$M$46</f>
        <v>506.51230101302457</v>
      </c>
    </row>
    <row r="46" spans="2:14" ht="18" customHeight="1" x14ac:dyDescent="0.25">
      <c r="B46" s="76" t="s">
        <v>55</v>
      </c>
      <c r="C46" s="77"/>
      <c r="D46" s="78"/>
      <c r="E46" s="33">
        <f>SUM(E43:E45)</f>
        <v>11139435.600578871</v>
      </c>
      <c r="F46" s="33">
        <f t="shared" ref="F46:K46" si="19">SUM(F43:F45)</f>
        <v>0</v>
      </c>
      <c r="G46" s="33">
        <f t="shared" si="19"/>
        <v>750000</v>
      </c>
      <c r="H46" s="33">
        <f t="shared" si="19"/>
        <v>253256.15050651229</v>
      </c>
      <c r="I46" s="33">
        <f t="shared" si="19"/>
        <v>0</v>
      </c>
      <c r="J46" s="33">
        <f t="shared" si="19"/>
        <v>0</v>
      </c>
      <c r="K46" s="33">
        <f t="shared" si="19"/>
        <v>0</v>
      </c>
      <c r="L46" s="39">
        <f t="shared" si="17"/>
        <v>12142691.751085384</v>
      </c>
      <c r="M46" s="39">
        <f>'Dữ liệu nguồn'!E6</f>
        <v>500</v>
      </c>
      <c r="N46" s="39">
        <f>L46/M46</f>
        <v>24285.383502170767</v>
      </c>
    </row>
    <row r="47" spans="2:14" ht="18" customHeight="1" x14ac:dyDescent="0.2">
      <c r="B47" s="43" t="s">
        <v>7</v>
      </c>
      <c r="C47" s="14">
        <v>621</v>
      </c>
      <c r="D47" s="8"/>
      <c r="E47" s="27">
        <f>M50*N42</f>
        <v>16925209.840810418</v>
      </c>
      <c r="F47" s="5"/>
      <c r="G47" s="5"/>
      <c r="H47" s="5"/>
      <c r="I47" s="5"/>
      <c r="J47" s="5"/>
      <c r="K47" s="5"/>
      <c r="L47" s="40">
        <f t="shared" si="17"/>
        <v>16925209.840810418</v>
      </c>
      <c r="M47" s="34"/>
      <c r="N47" s="34">
        <f>L47/$M$50</f>
        <v>24178.871201157741</v>
      </c>
    </row>
    <row r="48" spans="2:14" ht="18" customHeight="1" x14ac:dyDescent="0.2">
      <c r="B48" s="43"/>
      <c r="C48" s="14">
        <v>622</v>
      </c>
      <c r="D48" s="8"/>
      <c r="E48" s="27"/>
      <c r="F48" s="5"/>
      <c r="G48" s="5">
        <f>SUM('Dữ liệu nguồn'!E15:E17)/'Dữ liệu tính'!E11*'Dữ liệu tính'!E9</f>
        <v>1260000</v>
      </c>
      <c r="H48" s="5"/>
      <c r="I48" s="5"/>
      <c r="J48" s="5"/>
      <c r="K48" s="5"/>
      <c r="L48" s="40">
        <f t="shared" si="17"/>
        <v>1260000</v>
      </c>
      <c r="M48" s="34"/>
      <c r="N48" s="34">
        <f>L48/$M$50</f>
        <v>1800</v>
      </c>
    </row>
    <row r="49" spans="2:14" ht="18" customHeight="1" x14ac:dyDescent="0.2">
      <c r="B49" s="43"/>
      <c r="C49" s="14">
        <v>627</v>
      </c>
      <c r="D49" s="8"/>
      <c r="E49" s="27"/>
      <c r="F49" s="5"/>
      <c r="G49" s="5"/>
      <c r="H49" s="5">
        <f>SUM('Dữ liệu nguồn'!E18:E21)/'Dữ liệu tính'!F11*'Dữ liệu tính'!F9</f>
        <v>329232.99565846595</v>
      </c>
      <c r="I49" s="5"/>
      <c r="J49" s="5"/>
      <c r="K49" s="5"/>
      <c r="L49" s="40">
        <f t="shared" si="17"/>
        <v>329232.99565846595</v>
      </c>
      <c r="M49" s="34"/>
      <c r="N49" s="34">
        <f>L49/$M$50</f>
        <v>470.33285094066565</v>
      </c>
    </row>
    <row r="50" spans="2:14" ht="18" customHeight="1" x14ac:dyDescent="0.25">
      <c r="B50" s="79" t="s">
        <v>56</v>
      </c>
      <c r="C50" s="79"/>
      <c r="D50" s="79"/>
      <c r="E50" s="33">
        <f>SUM(E47:E49)</f>
        <v>16925209.840810418</v>
      </c>
      <c r="F50" s="33">
        <f t="shared" ref="F50:K50" si="20">SUM(F47:F49)</f>
        <v>0</v>
      </c>
      <c r="G50" s="33">
        <f t="shared" si="20"/>
        <v>1260000</v>
      </c>
      <c r="H50" s="33">
        <f t="shared" si="20"/>
        <v>329232.99565846595</v>
      </c>
      <c r="I50" s="33">
        <f t="shared" si="20"/>
        <v>0</v>
      </c>
      <c r="J50" s="33">
        <f t="shared" si="20"/>
        <v>0</v>
      </c>
      <c r="K50" s="33">
        <f t="shared" si="20"/>
        <v>0</v>
      </c>
      <c r="L50" s="39">
        <f t="shared" si="17"/>
        <v>18514442.836468883</v>
      </c>
      <c r="M50" s="39">
        <f>'Dữ liệu nguồn'!E7</f>
        <v>700</v>
      </c>
      <c r="N50" s="39">
        <f>L50/M50</f>
        <v>26449.204052098405</v>
      </c>
    </row>
    <row r="51" spans="2:14" ht="18" customHeight="1" x14ac:dyDescent="0.2">
      <c r="B51" s="43" t="s">
        <v>5</v>
      </c>
      <c r="C51" s="14">
        <v>621</v>
      </c>
      <c r="D51" s="8"/>
      <c r="E51" s="27">
        <f>N46*'Dữ liệu nguồn'!K10+'Dữ liệu tính'!N50*'Dữ liệu nguồn'!K11</f>
        <v>12683646.888567293</v>
      </c>
      <c r="F51" s="5"/>
      <c r="G51" s="5"/>
      <c r="H51" s="5"/>
      <c r="I51" s="5"/>
      <c r="J51" s="5"/>
      <c r="K51" s="5"/>
      <c r="L51" s="40">
        <f t="shared" si="17"/>
        <v>12683646.888567293</v>
      </c>
      <c r="M51" s="34"/>
      <c r="N51" s="34">
        <f>L51/$M$54</f>
        <v>25367.293777134586</v>
      </c>
    </row>
    <row r="52" spans="2:14" ht="18" customHeight="1" x14ac:dyDescent="0.2">
      <c r="B52" s="43"/>
      <c r="C52" s="14">
        <v>622</v>
      </c>
      <c r="D52" s="4"/>
      <c r="E52" s="5"/>
      <c r="F52" s="5"/>
      <c r="G52" s="5">
        <f>SUM('Dữ liệu nguồn'!E15:E17)/'Dữ liệu tính'!E11*'Dữ liệu tính'!E10</f>
        <v>1000000</v>
      </c>
      <c r="H52" s="5"/>
      <c r="I52" s="5"/>
      <c r="J52" s="5"/>
      <c r="K52" s="34"/>
      <c r="L52" s="40">
        <f t="shared" si="17"/>
        <v>1000000</v>
      </c>
      <c r="M52" s="34"/>
      <c r="N52" s="34">
        <f>L52/$M$54</f>
        <v>2000</v>
      </c>
    </row>
    <row r="53" spans="2:14" ht="18" customHeight="1" x14ac:dyDescent="0.2">
      <c r="B53" s="43"/>
      <c r="C53" s="14">
        <v>627</v>
      </c>
      <c r="D53" s="4"/>
      <c r="E53" s="5"/>
      <c r="F53" s="5"/>
      <c r="G53" s="5"/>
      <c r="H53" s="5">
        <f>SUM('Dữ liệu nguồn'!E18:E21)/'Dữ liệu tính'!F11*'Dữ liệu tính'!F10</f>
        <v>180897.25036179449</v>
      </c>
      <c r="I53" s="5"/>
      <c r="J53" s="5"/>
      <c r="K53" s="34"/>
      <c r="L53" s="40">
        <f t="shared" si="17"/>
        <v>180897.25036179449</v>
      </c>
      <c r="M53" s="34"/>
      <c r="N53" s="34">
        <f>L53/$M$54</f>
        <v>361.79450072358895</v>
      </c>
    </row>
    <row r="54" spans="2:14" ht="18" customHeight="1" x14ac:dyDescent="0.25">
      <c r="B54" s="79" t="s">
        <v>56</v>
      </c>
      <c r="C54" s="79"/>
      <c r="D54" s="79"/>
      <c r="E54" s="33">
        <f>SUM(E51:E53)</f>
        <v>12683646.888567293</v>
      </c>
      <c r="F54" s="33">
        <f t="shared" ref="F54:K54" si="21">SUM(F51:F53)</f>
        <v>0</v>
      </c>
      <c r="G54" s="33">
        <f t="shared" si="21"/>
        <v>1000000</v>
      </c>
      <c r="H54" s="33">
        <f t="shared" si="21"/>
        <v>180897.25036179449</v>
      </c>
      <c r="I54" s="33">
        <f t="shared" si="21"/>
        <v>0</v>
      </c>
      <c r="J54" s="33">
        <f t="shared" si="21"/>
        <v>0</v>
      </c>
      <c r="K54" s="33">
        <f t="shared" si="21"/>
        <v>0</v>
      </c>
      <c r="L54" s="39">
        <f t="shared" si="17"/>
        <v>13864544.138929088</v>
      </c>
      <c r="M54" s="39">
        <f>'Dữ liệu nguồn'!E8</f>
        <v>500</v>
      </c>
      <c r="N54" s="39">
        <f>L54/M54</f>
        <v>27729.088277858176</v>
      </c>
    </row>
    <row r="55" spans="2:14" ht="18" customHeight="1" x14ac:dyDescent="0.25">
      <c r="B55" s="80" t="s">
        <v>57</v>
      </c>
      <c r="C55" s="80"/>
      <c r="D55" s="80"/>
      <c r="E55" s="35">
        <f>E38+E42+E46+E50+E54</f>
        <v>106248292.32995659</v>
      </c>
      <c r="F55" s="35">
        <f t="shared" ref="F55:K55" si="22">F38+F42+F46+F50+F54</f>
        <v>0</v>
      </c>
      <c r="G55" s="35">
        <f t="shared" si="22"/>
        <v>6410000</v>
      </c>
      <c r="H55" s="35">
        <f t="shared" si="22"/>
        <v>2500000</v>
      </c>
      <c r="I55" s="35">
        <f t="shared" si="22"/>
        <v>0</v>
      </c>
      <c r="J55" s="35">
        <f t="shared" si="22"/>
        <v>0</v>
      </c>
      <c r="K55" s="35">
        <f t="shared" si="22"/>
        <v>0</v>
      </c>
      <c r="L55" s="41">
        <f t="shared" si="17"/>
        <v>115158292.32995659</v>
      </c>
      <c r="M55" s="41"/>
      <c r="N55" s="41"/>
    </row>
  </sheetData>
  <mergeCells count="35">
    <mergeCell ref="B54:D54"/>
    <mergeCell ref="B51:B53"/>
    <mergeCell ref="B47:B49"/>
    <mergeCell ref="B55:D55"/>
    <mergeCell ref="B39:B41"/>
    <mergeCell ref="B42:D42"/>
    <mergeCell ref="B46:D46"/>
    <mergeCell ref="B43:B45"/>
    <mergeCell ref="B50:D50"/>
    <mergeCell ref="D33:D34"/>
    <mergeCell ref="F33:K33"/>
    <mergeCell ref="E33:E34"/>
    <mergeCell ref="B35:B37"/>
    <mergeCell ref="B38:D38"/>
    <mergeCell ref="C16:C17"/>
    <mergeCell ref="C19:C20"/>
    <mergeCell ref="C33:C34"/>
    <mergeCell ref="B29:C29"/>
    <mergeCell ref="B33:B34"/>
    <mergeCell ref="B3:I3"/>
    <mergeCell ref="L33:L34"/>
    <mergeCell ref="M33:M34"/>
    <mergeCell ref="N33:N34"/>
    <mergeCell ref="B32:K32"/>
    <mergeCell ref="C24:C28"/>
    <mergeCell ref="D4:I4"/>
    <mergeCell ref="B4:B5"/>
    <mergeCell ref="B13:I13"/>
    <mergeCell ref="B14:B15"/>
    <mergeCell ref="D14:I14"/>
    <mergeCell ref="C4:C5"/>
    <mergeCell ref="C14:C15"/>
    <mergeCell ref="B18:C18"/>
    <mergeCell ref="B21:C21"/>
    <mergeCell ref="B23:C23"/>
  </mergeCells>
  <pageMargins left="0.7" right="0.7" top="0.75" bottom="0.75" header="0.3" footer="0.3"/>
  <pageSetup orientation="portrait" horizontalDpi="200" verticalDpi="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Dữ liệu nguồn</vt:lpstr>
      <vt:lpstr>Dữ liệu tính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Dung Pham</dc:creator>
  <cp:lastModifiedBy>Dung Pham</cp:lastModifiedBy>
  <dcterms:created xsi:type="dcterms:W3CDTF">2021-12-13T02:27:00Z</dcterms:created>
  <dcterms:modified xsi:type="dcterms:W3CDTF">2022-08-03T01:56:34Z</dcterms:modified>
</cp:coreProperties>
</file>